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7w7fjyOsqkvhkLugGihVNlukCwNnY/ZimrXgjRSc8P8YfTqHSanc9DUausEQvJ68JNFkK5Aq1h/6S+XLnwwGHw==" workbookSaltValue="GEYqusvBGGYFx42XkRWM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S32" i="20"/>
  <c r="AQ32" i="21"/>
  <c r="AJ32" i="20"/>
  <c r="G30" i="14"/>
  <c r="G23" i="14"/>
  <c r="U18" i="11"/>
  <c r="AX32" i="20"/>
  <c r="Y32" i="20"/>
  <c r="L32" i="20"/>
  <c r="AG32" i="20"/>
  <c r="H32" i="20"/>
  <c r="T32" i="21"/>
  <c r="F32" i="20"/>
  <c r="AF32" i="20"/>
  <c r="G26" i="14"/>
  <c r="K32" i="20"/>
  <c r="O17" i="11"/>
  <c r="BF17" i="8" l="1"/>
  <c r="T31" i="8"/>
  <c r="F16" i="11"/>
  <c r="AQ16" i="11" s="1"/>
  <c r="U13" i="16"/>
  <c r="P13" i="14"/>
  <c r="R13" i="17"/>
  <c r="R8" i="9"/>
  <c r="X12" i="17" s="1"/>
  <c r="I13" i="14"/>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3" i="14"/>
  <c r="S19" i="14"/>
  <c r="V19" i="14" s="1"/>
  <c r="S29" i="14"/>
  <c r="V29" i="14" s="1"/>
  <c r="R12" i="14"/>
  <c r="R19" i="14"/>
  <c r="T13" i="11"/>
  <c r="T25" i="11"/>
  <c r="T11" i="11"/>
  <c r="S16" i="14"/>
  <c r="V16" i="14" s="1"/>
  <c r="T18" i="11"/>
  <c r="AA28" i="16"/>
  <c r="AA17" i="16"/>
  <c r="X13" i="17"/>
  <c r="AA18" i="16"/>
  <c r="X9" i="17"/>
  <c r="T18" i="20"/>
  <c r="X19"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X20" i="20"/>
  <c r="X18" i="20"/>
  <c r="X11" i="17"/>
  <c r="X16" i="17"/>
  <c r="X10" i="17"/>
  <c r="X22" i="17"/>
  <c r="AA29" i="16"/>
  <c r="X25" i="17"/>
  <c r="T20" i="11"/>
  <c r="S9" i="14"/>
  <c r="V9" i="14" s="1"/>
  <c r="T29" i="11"/>
  <c r="T21" i="11"/>
  <c r="R29" i="14"/>
  <c r="R17" i="14"/>
  <c r="R10" i="14"/>
  <c r="S17" i="14"/>
  <c r="V17" i="14" s="1"/>
  <c r="S12" i="14"/>
  <c r="V12" i="14" s="1"/>
  <c r="S13" i="17"/>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AP17" i="20"/>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P17" i="11" s="1"/>
  <c r="S18" i="17"/>
  <c r="BM21" i="11"/>
  <c r="Q21" i="11" s="1"/>
  <c r="BM9" i="11"/>
  <c r="AO25" i="17"/>
  <c r="BH12" i="16"/>
  <c r="BJ17" i="11"/>
  <c r="BK22" i="11"/>
  <c r="BL17" i="11"/>
  <c r="BH22" i="11"/>
  <c r="L22" i="2"/>
  <c r="X22" i="16"/>
  <c r="S16" i="17"/>
  <c r="S17" i="17"/>
  <c r="L12" i="2"/>
  <c r="X19" i="16"/>
  <c r="X10" i="21"/>
  <c r="X31" i="21" s="1"/>
  <c r="L20" i="2"/>
  <c r="U9" i="17"/>
  <c r="U31" i="17" s="1"/>
  <c r="V10" i="16"/>
  <c r="BL25" i="11"/>
  <c r="Q25" i="11" s="1"/>
  <c r="X16" i="16"/>
  <c r="X23" i="16" s="1"/>
  <c r="BJ22" i="11"/>
  <c r="BG10" i="11"/>
  <c r="V11" i="16"/>
  <c r="V25" i="11"/>
  <c r="BF10" i="11"/>
  <c r="Q10" i="11" s="1"/>
  <c r="V11" i="11"/>
  <c r="BM12" i="11"/>
  <c r="V9" i="11"/>
  <c r="BJ16" i="11"/>
  <c r="AP16" i="20"/>
  <c r="V20" i="11"/>
  <c r="BG19" i="11"/>
  <c r="BL29" i="11"/>
  <c r="Q29" i="11" s="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V9" i="16"/>
  <c r="X13" i="16"/>
  <c r="BL19" i="11"/>
  <c r="BJ18" i="11"/>
  <c r="BM17" i="11"/>
  <c r="BF21" i="11"/>
  <c r="BF17" i="11"/>
  <c r="BL12" i="11"/>
  <c r="BK21" i="11"/>
  <c r="BI25" i="11"/>
  <c r="V13" i="11"/>
  <c r="BI19" i="11"/>
  <c r="AP22" i="20"/>
  <c r="R25" i="14"/>
  <c r="AZ9" i="11"/>
  <c r="T16" i="16"/>
  <c r="BV19" i="16"/>
  <c r="BW18" i="20"/>
  <c r="BW12" i="20"/>
  <c r="BW16" i="20"/>
  <c r="BW33" i="20" s="1"/>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BV14" i="16"/>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E31" i="2"/>
  <c r="BI23" i="11"/>
  <c r="U14" i="17"/>
  <c r="AQ17" i="11"/>
  <c r="P25"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<sst xmlns="http://schemas.openxmlformats.org/spreadsheetml/2006/main" count="2682" uniqueCount="1193">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</sst>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yZZAcwMkXtyJQUObibRJJm2mgpoXTakvnBx/W3ttNdD0l2PvPKVUNPsyzefQ74mThojHCP4DQMtJyVWY8dUAA==" saltValue="sv5ZYSi/LMVNVPlYe6b2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10</v>
      </c>
      <c r="F10" s="240">
        <f>IF(ISNUMBER(Datos!K10),Datos!K10," - ")</f>
        <v>6</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40.333333333333329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33.062381852551979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10</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657</v>
      </c>
      <c r="D17" s="239">
        <f>IF(ISNUMBER(IF(D_I="SI",Datos!I17,Datos!I17+Datos!AC17)),IF(D_I="SI",Datos!I17,Datos!I17+Datos!AC17)," - ")</f>
        <v>657</v>
      </c>
      <c r="E17" s="240">
        <f>IF(ISNUMBER(IF(D_I="SI",Datos!J17,Datos!J17+Datos!AD17)),IF(D_I="SI",Datos!J17,Datos!J17+Datos!AD17)," - ")</f>
        <v>515</v>
      </c>
      <c r="F17" s="240">
        <f>IF(ISNUMBER(IF(D_I="SI",Datos!K17,Datos!K17+Datos!AE17)),IF(D_I="SI",Datos!K17,Datos!K17+Datos!AE17)," - ")</f>
        <v>387</v>
      </c>
      <c r="G17" s="1390" t="str">
        <f>IF(Datos!E17&lt;&gt;"",Datos!E17,Datos!D17)</f>
        <v>04</v>
      </c>
      <c r="H17" s="241">
        <f>IF(ISNUMBER(IF(D_I="SI",Datos!L17,Datos!L17+Datos!AF17)),IF(D_I="SI",Datos!L17,Datos!L17+Datos!AF17)," - ")</f>
        <v>785</v>
      </c>
      <c r="I17" s="1400" t="str">
        <f>IF(ISNUMBER(Datos!AS17/Datos!BM17),Datos!AS17/Datos!BM17," - ")</f>
        <v xml:space="preserve"> - </v>
      </c>
      <c r="J17" s="1401">
        <f>IF(ISNUMBER(Datos!BY17/Datos!CN17),Datos!BY17/Datos!CN17," - ")</f>
        <v>0</v>
      </c>
      <c r="K17" s="244">
        <f t="shared" si="3"/>
        <v>0.19482496194824961</v>
      </c>
      <c r="L17" s="1402">
        <f>IF(ISNUMBER(NºAsuntos!I17/NºAsuntos!G17),(NºAsuntos!I17/NºAsuntos!G17)*11," - ")</f>
        <v>22.312661498708014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v>
      </c>
      <c r="D18" s="239">
        <f>IF(ISNUMBER(IF(D_I="SI",Datos!I18,Datos!I18+Datos!AC18)),IF(D_I="SI",Datos!I18,Datos!I18+Datos!AC18)," - ")</f>
        <v>43</v>
      </c>
      <c r="E18" s="240">
        <f>IF(ISNUMBER(IF(D_I="SI",Datos!J18,Datos!J18+Datos!AD18)),IF(D_I="SI",Datos!J18,Datos!J18+Datos!AD18)," - ")</f>
        <v>51</v>
      </c>
      <c r="F18" s="240">
        <f>IF(ISNUMBER(IF(D_I="SI",Datos!K18,Datos!K18+Datos!AE18)),IF(D_I="SI",Datos!K18,Datos!K18+Datos!AE18)," - ")</f>
        <v>61</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-0.23255813953488372</v>
      </c>
      <c r="L18" s="1402">
        <f>IF(ISNUMBER(NºAsuntos!I18/NºAsuntos!G18),(NºAsuntos!I18/NºAsuntos!G18)*11," - ")</f>
        <v>5.9508196721311482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700</v>
      </c>
      <c r="D23" s="1407">
        <f>SUBTOTAL(9,D16:D22)</f>
        <v>700</v>
      </c>
      <c r="E23" s="1408">
        <f>SUBTOTAL(9,E16:E22)</f>
        <v>566</v>
      </c>
      <c r="F23" s="1408">
        <f>SUBTOTAL(9,F16:F22)</f>
        <v>448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718</v>
      </c>
      <c r="D31" s="1435">
        <f>SUBTOTAL(9,D9:D30)</f>
        <v>718</v>
      </c>
      <c r="E31" s="1436">
        <f>SUBTOTAL(9,E9:E30)</f>
        <v>576</v>
      </c>
      <c r="F31" s="1436">
        <f>SUBTOTAL(9,F9:F30)</f>
        <v>454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73sPSXul8xWCMWnnGCc8y/lE1akQ+O7/1EffrzPmuBWzn+k4Yu0aR1Wv9s0d78HJhiOdOJF6xJiUKjjmeevRg==" saltValue="lLBmvZ2IxHOWiCd8s22E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fMf3xjw8tsJOljhd5CtKRpnWqt3HRyyJy7vbBZ3kTwRffts8ISRqqL5e8ll22+MRkMXQ1HoyobQ5uKyISBTBA==" saltValue="xt/k8BoJA6FxeE96Wuzi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10</v>
      </c>
      <c r="K10" s="194">
        <v>6</v>
      </c>
      <c r="L10" s="194">
        <v>22</v>
      </c>
      <c r="M10" s="194">
        <v>3</v>
      </c>
      <c r="N10" s="194">
        <v>2</v>
      </c>
      <c r="O10" s="194">
        <v>2</v>
      </c>
      <c r="P10" s="194">
        <v>2</v>
      </c>
      <c r="Q10" s="194">
        <v>2</v>
      </c>
      <c r="R10" s="194">
        <v>16</v>
      </c>
      <c r="S10" s="194">
        <v>15</v>
      </c>
      <c r="T10" s="194">
        <v>10</v>
      </c>
      <c r="U10" s="194">
        <v>6</v>
      </c>
      <c r="V10" s="194">
        <v>19</v>
      </c>
      <c r="W10" s="194">
        <v>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10</v>
      </c>
      <c r="BA10" s="139">
        <f t="shared" si="0"/>
        <v>6</v>
      </c>
      <c r="BB10" s="139">
        <f t="shared" si="0"/>
        <v>19</v>
      </c>
      <c r="BC10" s="135">
        <f t="shared" si="0"/>
        <v>2</v>
      </c>
      <c r="BD10" s="136">
        <f>IF(ISNUMBER(BA10/AZ10),BA10/AZ10," - ")</f>
        <v>0.6</v>
      </c>
      <c r="BE10" s="137">
        <f>IF(ISNUMBER(BB10/BA10),BB10/BA10, " - ")</f>
        <v>3.1666666666666665</v>
      </c>
      <c r="BF10" s="137">
        <f>IF(ISNUMBER(BC10/BA10),BC10/BA10, " - ")</f>
        <v>0.33333333333333331</v>
      </c>
      <c r="BG10" s="209">
        <f>IF(ISNUMBER((AY10+AZ10)/BA10),(AY10+AZ10)/BA10," - ")</f>
        <v>4.166666666666667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1319</v>
      </c>
      <c r="J12" s="196">
        <v>720</v>
      </c>
      <c r="K12" s="196">
        <v>499</v>
      </c>
      <c r="L12" s="196">
        <v>1540</v>
      </c>
      <c r="M12" s="196">
        <v>116</v>
      </c>
      <c r="N12" s="196">
        <v>225</v>
      </c>
      <c r="O12" s="194">
        <v>310</v>
      </c>
      <c r="P12" s="196">
        <v>204</v>
      </c>
      <c r="Q12" s="196">
        <v>500</v>
      </c>
      <c r="R12" s="196">
        <v>3805</v>
      </c>
      <c r="S12" s="196">
        <v>898</v>
      </c>
      <c r="T12" s="196">
        <v>531</v>
      </c>
      <c r="U12" s="196">
        <v>372</v>
      </c>
      <c r="V12" s="196">
        <v>1072</v>
      </c>
      <c r="W12" s="196">
        <v>118</v>
      </c>
      <c r="X12" s="202">
        <v>151</v>
      </c>
      <c r="Y12" s="204">
        <v>50</v>
      </c>
      <c r="Z12" s="194">
        <v>30</v>
      </c>
      <c r="AA12" s="194">
        <v>30</v>
      </c>
      <c r="AB12" s="194">
        <v>50</v>
      </c>
      <c r="AC12" s="196">
        <v>0</v>
      </c>
      <c r="AD12" s="196">
        <v>0</v>
      </c>
      <c r="AE12" s="196">
        <v>0</v>
      </c>
      <c r="AF12" s="202">
        <v>0</v>
      </c>
      <c r="AG12" s="215">
        <v>49</v>
      </c>
      <c r="AH12" s="196">
        <v>21</v>
      </c>
      <c r="AI12" s="196">
        <v>25</v>
      </c>
      <c r="AJ12" s="216">
        <v>42</v>
      </c>
      <c r="AK12" s="195">
        <v>0</v>
      </c>
      <c r="AL12" s="196">
        <v>0</v>
      </c>
      <c r="AM12" s="196">
        <v>0</v>
      </c>
      <c r="AN12" s="202">
        <v>0</v>
      </c>
      <c r="AO12" s="283">
        <v>3</v>
      </c>
      <c r="AP12" s="168">
        <v>3</v>
      </c>
      <c r="AQ12" s="168">
        <v>3</v>
      </c>
      <c r="AR12" s="167">
        <v>3</v>
      </c>
      <c r="AS12" s="381" t="s">
        <v>1075</v>
      </c>
      <c r="AT12" s="216"/>
      <c r="AU12" s="215"/>
      <c r="AV12" s="216"/>
      <c r="AW12" s="215"/>
      <c r="AX12" s="216"/>
      <c r="AY12" s="136">
        <f t="shared" si="1"/>
        <v>947</v>
      </c>
      <c r="AZ12" s="137">
        <f t="shared" si="1"/>
        <v>552</v>
      </c>
      <c r="BA12" s="137">
        <f t="shared" si="1"/>
        <v>397</v>
      </c>
      <c r="BB12" s="137">
        <f t="shared" si="1"/>
        <v>1114</v>
      </c>
      <c r="BC12" s="135">
        <f>IF(ISNUMBER(X12),X12," - ")</f>
        <v>151</v>
      </c>
      <c r="BD12" s="136">
        <f t="shared" si="2"/>
        <v>0.71920289855072461</v>
      </c>
      <c r="BE12" s="137">
        <f t="shared" si="3"/>
        <v>2.8060453400503778</v>
      </c>
      <c r="BF12" s="137">
        <f t="shared" si="4"/>
        <v>0.38035264483627201</v>
      </c>
      <c r="BG12" s="209">
        <f t="shared" si="5"/>
        <v>3.7758186397984885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1337</v>
      </c>
      <c r="J14" s="197">
        <f t="shared" si="7"/>
        <v>730</v>
      </c>
      <c r="K14" s="197">
        <f t="shared" si="7"/>
        <v>505</v>
      </c>
      <c r="L14" s="197">
        <f t="shared" si="7"/>
        <v>1562</v>
      </c>
      <c r="M14" s="197">
        <f t="shared" si="7"/>
        <v>119</v>
      </c>
      <c r="N14" s="197">
        <f t="shared" si="7"/>
        <v>227</v>
      </c>
      <c r="O14" s="197">
        <f t="shared" si="7"/>
        <v>312</v>
      </c>
      <c r="P14" s="197">
        <f t="shared" si="7"/>
        <v>206</v>
      </c>
      <c r="Q14" s="197">
        <f t="shared" si="7"/>
        <v>502</v>
      </c>
      <c r="R14" s="197">
        <f t="shared" si="7"/>
        <v>3821</v>
      </c>
      <c r="S14" s="197">
        <f t="shared" si="7"/>
        <v>913</v>
      </c>
      <c r="T14" s="197">
        <f t="shared" si="7"/>
        <v>541</v>
      </c>
      <c r="U14" s="197">
        <f t="shared" si="7"/>
        <v>378</v>
      </c>
      <c r="V14" s="197">
        <f t="shared" si="7"/>
        <v>1091</v>
      </c>
      <c r="W14" s="197">
        <f t="shared" si="7"/>
        <v>120</v>
      </c>
      <c r="X14" s="197">
        <f t="shared" si="7"/>
        <v>154</v>
      </c>
      <c r="Y14" s="197">
        <f t="shared" si="7"/>
        <v>50</v>
      </c>
      <c r="Z14" s="197">
        <f t="shared" si="7"/>
        <v>30</v>
      </c>
      <c r="AA14" s="197">
        <f t="shared" si="7"/>
        <v>30</v>
      </c>
      <c r="AB14" s="197">
        <f t="shared" si="7"/>
        <v>50</v>
      </c>
      <c r="AC14" s="197">
        <f t="shared" si="7"/>
        <v>0</v>
      </c>
      <c r="AD14" s="197">
        <f t="shared" si="7"/>
        <v>0</v>
      </c>
      <c r="AE14" s="197">
        <f t="shared" si="7"/>
        <v>0</v>
      </c>
      <c r="AF14" s="197">
        <f>SUBTOTAL(9,AF9:AF13)</f>
        <v>0</v>
      </c>
      <c r="AG14" s="197">
        <f t="shared" ref="AG14:AT14" si="8">SUBTOTAL(9,AG8:AG13)</f>
        <v>49</v>
      </c>
      <c r="AH14" s="197">
        <f t="shared" si="8"/>
        <v>21</v>
      </c>
      <c r="AI14" s="197">
        <f t="shared" si="8"/>
        <v>25</v>
      </c>
      <c r="AJ14" s="197">
        <f t="shared" si="8"/>
        <v>42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962</v>
      </c>
      <c r="AZ14" s="197">
        <f>SUBTOTAL(9,AZ8:AZ13)</f>
        <v>562</v>
      </c>
      <c r="BA14" s="197">
        <f>SUBTOTAL(9,BA8:BA13)</f>
        <v>403</v>
      </c>
      <c r="BB14" s="197">
        <f>SUBTOTAL(9,BB8:BB13)</f>
        <v>1133</v>
      </c>
      <c r="BC14" s="197">
        <f>SUBTOTAL(9,BC8:BC13)</f>
        <v>153</v>
      </c>
      <c r="BD14" s="219">
        <f>IF(ISNUMBER(BA14/AZ14),BA14/AZ14," - ")</f>
        <v>0.7170818505338078</v>
      </c>
      <c r="BE14" s="220">
        <f>IF(ISNUMBER(BB14/BA14),BB14/BA14, " - ")</f>
        <v>2.8114143920595533</v>
      </c>
      <c r="BF14" s="220">
        <f>IF(ISNUMBER(BC14/BA14),BC14/BA14, " - ")</f>
        <v>0.37965260545905705</v>
      </c>
      <c r="BG14" s="221">
        <f>IF(ISNUMBER((AY14+AZ14)/BA14),(AY14+AZ14)/BA14," - ")</f>
        <v>3.7816377171215882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657</v>
      </c>
      <c r="J17" s="196">
        <v>515</v>
      </c>
      <c r="K17" s="196">
        <v>387</v>
      </c>
      <c r="L17" s="196">
        <v>785</v>
      </c>
      <c r="M17" s="196">
        <v>58</v>
      </c>
      <c r="N17" s="196">
        <v>249</v>
      </c>
      <c r="O17" s="194">
        <v>7</v>
      </c>
      <c r="P17" s="196">
        <v>7</v>
      </c>
      <c r="Q17" s="196">
        <v>7</v>
      </c>
      <c r="R17" s="196">
        <v>116</v>
      </c>
      <c r="S17" s="196">
        <v>527</v>
      </c>
      <c r="T17" s="196">
        <v>451</v>
      </c>
      <c r="U17" s="196">
        <v>494</v>
      </c>
      <c r="V17" s="196">
        <v>489</v>
      </c>
      <c r="W17" s="196">
        <v>103</v>
      </c>
      <c r="X17" s="202">
        <v>283</v>
      </c>
      <c r="Y17" s="215">
        <v>0</v>
      </c>
      <c r="Z17" s="196">
        <v>0</v>
      </c>
      <c r="AA17" s="196">
        <v>0</v>
      </c>
      <c r="AB17" s="196">
        <v>0</v>
      </c>
      <c r="AC17" s="196">
        <v>0</v>
      </c>
      <c r="AD17" s="196">
        <v>1</v>
      </c>
      <c r="AE17" s="196">
        <v>0</v>
      </c>
      <c r="AF17" s="202">
        <v>1</v>
      </c>
      <c r="AG17" s="215">
        <v>0</v>
      </c>
      <c r="AH17" s="196">
        <v>0</v>
      </c>
      <c r="AI17" s="196">
        <v>0</v>
      </c>
      <c r="AJ17" s="216">
        <v>0</v>
      </c>
      <c r="AK17" s="195">
        <v>1</v>
      </c>
      <c r="AL17" s="196">
        <v>6</v>
      </c>
      <c r="AM17" s="196">
        <v>7</v>
      </c>
      <c r="AN17" s="202">
        <v>0</v>
      </c>
      <c r="AO17" s="283">
        <v>3</v>
      </c>
      <c r="AP17" s="168">
        <v>3</v>
      </c>
      <c r="AQ17" s="168">
        <v>3</v>
      </c>
      <c r="AR17" s="168">
        <v>3</v>
      </c>
      <c r="AS17" s="381" t="s">
        <v>650</v>
      </c>
      <c r="AT17" s="216"/>
      <c r="AU17" s="215"/>
      <c r="AV17" s="216"/>
      <c r="AW17" s="215"/>
      <c r="AX17" s="216"/>
      <c r="AY17" s="136">
        <f t="shared" si="10"/>
        <v>527</v>
      </c>
      <c r="AZ17" s="137">
        <f t="shared" si="10"/>
        <v>451</v>
      </c>
      <c r="BA17" s="137">
        <f t="shared" si="10"/>
        <v>494</v>
      </c>
      <c r="BB17" s="137">
        <f t="shared" si="10"/>
        <v>489</v>
      </c>
      <c r="BC17" s="135">
        <f>IF(ISNUMBER(W17),W17," - ")</f>
        <v>103</v>
      </c>
      <c r="BD17" s="136">
        <f t="shared" ref="BD17:BD22" si="12">IF(ISNUMBER(BA17/AZ17),BA17/AZ17," - ")</f>
        <v>1.0953436807095345</v>
      </c>
      <c r="BE17" s="137">
        <f t="shared" ref="BE17:BE22" si="13">IF(ISNUMBER(BB17/BA17),BB17/BA17, " - ")</f>
        <v>0.98987854251012142</v>
      </c>
      <c r="BF17" s="137">
        <f t="shared" ref="BF17:BF22" si="14">IF(ISNUMBER(BC17/BA17),BC17/BA17, " - ")</f>
        <v>0.20850202429149797</v>
      </c>
      <c r="BG17" s="209">
        <f t="shared" si="11"/>
        <v>1.9797570850202428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43</v>
      </c>
      <c r="J18" s="196">
        <v>51</v>
      </c>
      <c r="K18" s="196">
        <v>61</v>
      </c>
      <c r="L18" s="196">
        <v>33</v>
      </c>
      <c r="M18" s="196">
        <v>11</v>
      </c>
      <c r="N18" s="196">
        <v>24</v>
      </c>
      <c r="O18" s="196">
        <v>0</v>
      </c>
      <c r="P18" s="196">
        <v>0</v>
      </c>
      <c r="Q18" s="196">
        <v>2</v>
      </c>
      <c r="R18" s="196">
        <v>13</v>
      </c>
      <c r="S18" s="196">
        <v>51</v>
      </c>
      <c r="T18" s="196">
        <v>45</v>
      </c>
      <c r="U18" s="196">
        <v>44</v>
      </c>
      <c r="V18" s="196">
        <v>54</v>
      </c>
      <c r="W18" s="196">
        <v>13</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51</v>
      </c>
      <c r="AZ18" s="139">
        <f t="shared" si="15"/>
        <v>45</v>
      </c>
      <c r="BA18" s="139">
        <f t="shared" si="15"/>
        <v>44</v>
      </c>
      <c r="BB18" s="139">
        <f t="shared" si="15"/>
        <v>54</v>
      </c>
      <c r="BC18" s="135">
        <f>IF(ISNUMBER(W18),W18," - ")</f>
        <v>13</v>
      </c>
      <c r="BD18" s="136">
        <f>IF(ISNUMBER(BA18/AZ18),BA18/AZ18," - ")</f>
        <v>0.97777777777777775</v>
      </c>
      <c r="BE18" s="137">
        <f>IF(ISNUMBER(BB18/BA18),BB18/BA18, " - ")</f>
        <v>1.2272727272727273</v>
      </c>
      <c r="BF18" s="137">
        <f>IF(ISNUMBER(BC18/BA18),BC18/BA18, " - ")</f>
        <v>0.29545454545454547</v>
      </c>
      <c r="BG18" s="209">
        <f>IF(ISNUMBER((AY18+AZ18)/BA18),(AY18+AZ18)/BA18," - ")</f>
        <v>2.1818181818181817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700</v>
      </c>
      <c r="J23" s="197">
        <f t="shared" si="21"/>
        <v>566</v>
      </c>
      <c r="K23" s="197">
        <f t="shared" si="21"/>
        <v>448</v>
      </c>
      <c r="L23" s="197">
        <f t="shared" si="21"/>
        <v>818</v>
      </c>
      <c r="M23" s="197">
        <f t="shared" si="21"/>
        <v>69</v>
      </c>
      <c r="N23" s="197">
        <f t="shared" si="21"/>
        <v>273</v>
      </c>
      <c r="O23" s="197">
        <f t="shared" si="21"/>
        <v>7</v>
      </c>
      <c r="P23" s="197">
        <f t="shared" si="21"/>
        <v>7</v>
      </c>
      <c r="Q23" s="197">
        <f t="shared" si="21"/>
        <v>9</v>
      </c>
      <c r="R23" s="197">
        <f t="shared" si="21"/>
        <v>129</v>
      </c>
      <c r="S23" s="197">
        <f t="shared" si="21"/>
        <v>578</v>
      </c>
      <c r="T23" s="197">
        <f t="shared" si="21"/>
        <v>496</v>
      </c>
      <c r="U23" s="197">
        <f t="shared" si="21"/>
        <v>538</v>
      </c>
      <c r="V23" s="197">
        <f t="shared" si="21"/>
        <v>543</v>
      </c>
      <c r="W23" s="197">
        <f t="shared" si="21"/>
        <v>116</v>
      </c>
      <c r="X23" s="197">
        <f t="shared" si="21"/>
        <v>304</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1</v>
      </c>
      <c r="AL23" s="197">
        <f t="shared" si="21"/>
        <v>6</v>
      </c>
      <c r="AM23" s="197">
        <f t="shared" si="21"/>
        <v>7</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578</v>
      </c>
      <c r="AZ23" s="197">
        <f>SUBTOTAL(9,AZ15:AZ22)</f>
        <v>496</v>
      </c>
      <c r="BA23" s="197">
        <f>SUBTOTAL(9,BA15:BA22)</f>
        <v>538</v>
      </c>
      <c r="BB23" s="197">
        <f>SUBTOTAL(9,BB15:BB22)</f>
        <v>543</v>
      </c>
      <c r="BC23" s="197">
        <f>SUBTOTAL(9,BC15:BC22)</f>
        <v>116</v>
      </c>
      <c r="BD23" s="219">
        <f>IF(ISNUMBER(BA23/AZ23),BA23/AZ23," - ")</f>
        <v>1.0846774193548387</v>
      </c>
      <c r="BE23" s="220">
        <f>IF(ISNUMBER(BB23/BA23),BB23/BA23, " - ")</f>
        <v>1.0092936802973977</v>
      </c>
      <c r="BF23" s="220">
        <f>IF(ISNUMBER(BC23/BA23),BC23/BA23, " - ")</f>
        <v>0.21561338289962825</v>
      </c>
      <c r="BG23" s="221">
        <f>IF(ISNUMBER((AY23+AZ23)/BA23),(AY23+AZ23)/BA23," - ")</f>
        <v>1.996282527881041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2037</v>
      </c>
      <c r="J31" s="144">
        <f t="shared" si="36"/>
        <v>1296</v>
      </c>
      <c r="K31" s="144">
        <f t="shared" si="36"/>
        <v>953</v>
      </c>
      <c r="L31" s="144">
        <f t="shared" si="36"/>
        <v>2380</v>
      </c>
      <c r="M31" s="144">
        <f t="shared" si="36"/>
        <v>188</v>
      </c>
      <c r="N31" s="144">
        <f t="shared" si="36"/>
        <v>500</v>
      </c>
      <c r="O31" s="144">
        <f t="shared" si="36"/>
        <v>319</v>
      </c>
      <c r="P31" s="144">
        <f t="shared" si="36"/>
        <v>213</v>
      </c>
      <c r="Q31" s="144">
        <f t="shared" si="36"/>
        <v>511</v>
      </c>
      <c r="R31" s="144">
        <f t="shared" si="36"/>
        <v>3950</v>
      </c>
      <c r="S31" s="144">
        <f t="shared" si="36"/>
        <v>1491</v>
      </c>
      <c r="T31" s="144">
        <f t="shared" si="36"/>
        <v>1037</v>
      </c>
      <c r="U31" s="144">
        <f t="shared" si="36"/>
        <v>916</v>
      </c>
      <c r="V31" s="144">
        <f t="shared" si="36"/>
        <v>1634</v>
      </c>
      <c r="W31" s="144">
        <f t="shared" si="36"/>
        <v>236</v>
      </c>
      <c r="X31" s="144">
        <f t="shared" si="36"/>
        <v>458</v>
      </c>
      <c r="Y31" s="144">
        <f t="shared" si="36"/>
        <v>50</v>
      </c>
      <c r="Z31" s="144">
        <f t="shared" si="36"/>
        <v>30</v>
      </c>
      <c r="AA31" s="144">
        <f t="shared" si="36"/>
        <v>30</v>
      </c>
      <c r="AB31" s="144">
        <f t="shared" si="36"/>
        <v>50</v>
      </c>
      <c r="AC31" s="144">
        <f t="shared" si="36"/>
        <v>0</v>
      </c>
      <c r="AD31" s="144">
        <f t="shared" si="36"/>
        <v>1</v>
      </c>
      <c r="AE31" s="144">
        <f t="shared" si="36"/>
        <v>0</v>
      </c>
      <c r="AF31" s="144">
        <f t="shared" si="36"/>
        <v>1</v>
      </c>
      <c r="AG31" s="144">
        <f t="shared" si="36"/>
        <v>49</v>
      </c>
      <c r="AH31" s="144">
        <f t="shared" si="36"/>
        <v>21</v>
      </c>
      <c r="AI31" s="144">
        <f t="shared" si="36"/>
        <v>25</v>
      </c>
      <c r="AJ31" s="144">
        <f t="shared" si="36"/>
        <v>42</v>
      </c>
      <c r="AK31" s="144">
        <f t="shared" si="36"/>
        <v>1</v>
      </c>
      <c r="AL31" s="144">
        <f t="shared" si="36"/>
        <v>6</v>
      </c>
      <c r="AM31" s="144">
        <f t="shared" si="36"/>
        <v>7</v>
      </c>
      <c r="AN31" s="224">
        <f t="shared" si="36"/>
        <v>0</v>
      </c>
      <c r="AO31" s="225">
        <v>4</v>
      </c>
      <c r="AP31" s="225">
        <v>3</v>
      </c>
      <c r="AQ31" s="225">
        <v>3</v>
      </c>
      <c r="AR31" s="225">
        <v>3</v>
      </c>
      <c r="AS31" s="166">
        <f t="shared" si="36"/>
        <v>0</v>
      </c>
      <c r="AT31" s="166">
        <f t="shared" si="36"/>
        <v>0</v>
      </c>
      <c r="AU31" s="225"/>
      <c r="AV31" s="226"/>
      <c r="AW31" s="225"/>
      <c r="AX31" s="226"/>
      <c r="AY31" s="143">
        <f>SUBTOTAL(9,AY9:AY30)</f>
        <v>1540</v>
      </c>
      <c r="AZ31" s="144">
        <f>SUBTOTAL(9,AZ9:AZ30)</f>
        <v>1058</v>
      </c>
      <c r="BA31" s="144">
        <f>SUBTOTAL(9,BA9:BA30)</f>
        <v>941</v>
      </c>
      <c r="BB31" s="144">
        <f>SUBTOTAL(9,BB9:BB30)</f>
        <v>1676</v>
      </c>
      <c r="BC31" s="145">
        <f>SUBTOTAL(9,BC9:BC30)</f>
        <v>269</v>
      </c>
      <c r="BD31" s="227">
        <f>IF(ISNUMBER(BA31/AZ31),BA31/AZ31," - ")</f>
        <v>0.88941398865784504</v>
      </c>
      <c r="BE31" s="224">
        <f>IF(ISNUMBER(BB31/BA31),BB31/BA31, " - ")</f>
        <v>1.7810839532412328</v>
      </c>
      <c r="BF31" s="224">
        <f>IF(ISNUMBER(BC31/BA31),BC31/BA31, " - ")</f>
        <v>0.28586609989373007</v>
      </c>
      <c r="BG31" s="145">
        <f>IF(ISNUMBER((AY31+AZ31)/BA31),(AY31+AZ31)/BA31," - ")</f>
        <v>2.7608926673751331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RJBIlyUvnHt6GHHQ3au/9/n7cRgpWbLb+AhBeCaYn5VO7pZ2iO/GcxnYBlNr6Uo6Zzu7ZHrNYtL8WsKplBuHg==" saltValue="4tpO8zs5I8ZcNzFGYU20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uvi8XP+NaYeO9MnMJBNfhpR/UoMXDAcIWtqUn41lHnq2J36T6lmmgCLP1sDb3QSrAWthVZlSaHxiNEBMz5mDA==" saltValue="7B8Ov/QLcg4XzZ79H19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BALAGUER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2</v>
      </c>
      <c r="AD10" s="549"/>
      <c r="AE10" s="563"/>
      <c r="AF10" s="551">
        <f>IF(ISNUMBER(Datos!L10),Datos!L10,"-")</f>
        <v>22</v>
      </c>
      <c r="AG10" s="549"/>
      <c r="AH10" s="549"/>
      <c r="AI10" s="549"/>
      <c r="AJ10" s="549"/>
      <c r="AK10" s="549"/>
      <c r="AL10" s="550"/>
      <c r="AM10" s="766">
        <f>IF(ISNUMBER(Datos!R10),Datos!R10," - ")</f>
        <v>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2</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204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50</v>
      </c>
      <c r="AI12" s="549" t="str">
        <f>IF(ISNUMBER(Datos!CD12),Datos!CD12,"-")</f>
        <v>-</v>
      </c>
      <c r="AJ12" s="549" t="str">
        <f>IF(ISNUMBER(Datos!EN12),Datos!EN12," - ")</f>
        <v xml:space="preserve"> - </v>
      </c>
      <c r="AK12" s="549"/>
      <c r="AL12" s="550"/>
      <c r="AM12" s="766">
        <f>IF(ISNUMBER(Datos!R12),Datos!R12," - ")</f>
        <v>3805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116</v>
      </c>
      <c r="BD12" s="693">
        <f>IF(ISNUMBER(Datos!N12),Datos!N12," - ")</f>
        <v>225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0.70533333333333337</v>
      </c>
      <c r="BH12" s="764">
        <f>IF(ISNUMBER(((IF(J_V="SI",Datos!L12/Datos!K12,(Datos!L12+Datos!AB12)/(Datos!K12+Datos!AA12)))*11)/factor_trimestre),((IF(J_V="SI",Datos!L12/Datos!K12,(Datos!L12+Datos!AB12)/(Datos!K12+Datos!AA12)))*11)/factor_trimestre," - ")</f>
        <v>9.0170132325141772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-7.2177517678614966E-2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206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502</v>
      </c>
      <c r="AD14" s="1198">
        <f t="shared" si="2"/>
        <v>0</v>
      </c>
      <c r="AE14" s="1198">
        <f t="shared" si="2"/>
        <v>0</v>
      </c>
      <c r="AF14" s="1198">
        <f t="shared" si="2"/>
        <v>22</v>
      </c>
      <c r="AG14" s="1198">
        <f t="shared" si="2"/>
        <v>0</v>
      </c>
      <c r="AH14" s="1198">
        <f t="shared" si="2"/>
        <v>50</v>
      </c>
      <c r="AI14" s="1198">
        <f t="shared" si="2"/>
        <v>0</v>
      </c>
      <c r="AJ14" s="1198">
        <f t="shared" si="2"/>
        <v>0</v>
      </c>
      <c r="AK14" s="1198">
        <f t="shared" si="2"/>
        <v>0</v>
      </c>
      <c r="AL14" s="1198">
        <f t="shared" si="2"/>
        <v>0</v>
      </c>
      <c r="AM14" s="1198">
        <f t="shared" si="2"/>
        <v>3821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119</v>
      </c>
      <c r="BD14" s="1198">
        <f t="shared" si="2"/>
        <v>227</v>
      </c>
      <c r="BE14" s="1198">
        <f t="shared" si="2"/>
        <v>0</v>
      </c>
      <c r="BF14" s="1198">
        <f t="shared" si="2"/>
        <v>0</v>
      </c>
      <c r="BG14" s="1198">
        <f>IF(ISNUMBER(Datos!K14/Datos!J14),Datos!K14/Datos!J14," - ")</f>
        <v>0.69178082191780821</v>
      </c>
      <c r="BH14" s="1202">
        <f>IF(ISNUMBER(((Datos!L14/Datos!K14)*11)/factor_trimestre),((Datos!L14/Datos!K14)*11)/factor_trimestre," - ")</f>
        <v>9.2792079207920803</v>
      </c>
      <c r="BI14" s="1198">
        <f>IF(ISNUMBER('Resol  Asuntos'!D14/NºAsuntos!G14),'Resol  Asuntos'!D14/NºAsuntos!G14," - ")</f>
        <v>0.22242990654205608</v>
      </c>
      <c r="BJ14" s="1198" t="str">
        <f>IF(ISNUMBER(Datos!CI14/Datos!CJ14),Datos!CI14/Datos!CJ14," - ")</f>
        <v xml:space="preserve"> - </v>
      </c>
      <c r="BK14" s="1198">
        <f>SUBTOTAL(9,BK8:BK13)</f>
        <v>0</v>
      </c>
      <c r="BL14" s="1198">
        <f>IF(ISNUMBER((I14-AB14+L14)/(F14)),(I14-AB14+L14)/(F14)," - ")</f>
        <v>-0.33333333333333331</v>
      </c>
      <c r="BM14" s="1203">
        <f>SUBTOTAL(9,BM9:BM13)</f>
        <v>-7.2177517678614966E-2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657</v>
      </c>
      <c r="G17" s="743">
        <f>IF(ISNUMBER(IF(D_I="SI",Datos!I17,Datos!I17+Datos!AC17)),IF(D_I="SI",Datos!I17,Datos!I17+Datos!AC17)," - ")</f>
        <v>657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387</v>
      </c>
      <c r="AC17" s="240">
        <f>IF(ISNUMBER(Datos!Q17),Datos!Q17," - ")</f>
        <v>7</v>
      </c>
      <c r="AD17" s="374"/>
      <c r="AE17" s="562"/>
      <c r="AF17" s="741">
        <f>IF(ISNUMBER(IF(D_I="SI",Datos!L17,Datos!L17+Datos!AF17)),IF(D_I="SI",Datos!L17,Datos!L17+Datos!AF17)," - ")</f>
        <v>785</v>
      </c>
      <c r="AG17" s="374"/>
      <c r="AH17" s="374"/>
      <c r="AI17" s="374"/>
      <c r="AJ17" s="549"/>
      <c r="AK17" s="374"/>
      <c r="AL17" s="545"/>
      <c r="AM17" s="375">
        <f>IF(ISNUMBER(Datos!R17),Datos!R17," - ")</f>
        <v>116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v>
      </c>
      <c r="BD17" s="243">
        <f>IF(ISNUMBER(Datos!N17),Datos!N17," - ")</f>
        <v>249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0.75145631067961161</v>
      </c>
      <c r="BH17" s="764">
        <f>IF(ISNUMBER(((IF(D_I="SI",Datos!L17/Datos!K17,(Datos!L17+Datos!AF17)/(Datos!K17+Datos!AE17)))*11)/factor_trimestre),((IF(D_I="SI",Datos!L17/Datos!K17,(Datos!L17+Datos!AF17)/(Datos!K17+Datos!AE17)))*11)/factor_trimestre," - ")</f>
        <v>6.0852713178294584</v>
      </c>
      <c r="BI17" s="266">
        <f>IF(ISNUMBER('Resol  Asuntos'!D17/NºAsuntos!G17),'Resol  Asuntos'!D17/NºAsuntos!G17," - ")</f>
        <v>0.14987080103359174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61</v>
      </c>
      <c r="AC18" s="547">
        <f>IF(ISNUMBER(Datos!Q18),Datos!Q18," - ")</f>
        <v>2</v>
      </c>
      <c r="AD18" s="549"/>
      <c r="AE18" s="562"/>
      <c r="AF18" s="551">
        <f>IF(ISNUMBER(Datos!L18),Datos!L18,"-")</f>
        <v>33</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1.196078431372549</v>
      </c>
      <c r="BH18" s="764">
        <f>IF(ISNUMBER(((IF(D_I="SI",Datos!L18/Datos!K18,(Datos!L18+Datos!AF18)/(Datos!K18+Datos!AE18)))*11)/factor_trimestre),((IF(D_I="SI",Datos!L18/Datos!K18,(Datos!L18+Datos!AF18)/(Datos!K18+Datos!AE18)))*11)/factor_trimestre," - ")</f>
        <v>1.6229508196721314</v>
      </c>
      <c r="BI18" s="763">
        <f>IF(ISNUMBER('Resol  Asuntos'!D18/NºAsuntos!G18),'Resol  Asuntos'!D18/NºAsuntos!G18," - ")</f>
        <v>0.18032786885245902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657</v>
      </c>
      <c r="G23" s="1197">
        <f>SUBTOTAL(9,G16:G22)</f>
        <v>700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448</v>
      </c>
      <c r="AC23" s="1198">
        <f t="shared" si="5"/>
        <v>9</v>
      </c>
      <c r="AD23" s="1198">
        <f t="shared" si="5"/>
        <v>0</v>
      </c>
      <c r="AE23" s="1198">
        <f t="shared" si="5"/>
        <v>0</v>
      </c>
      <c r="AF23" s="1198">
        <f t="shared" si="5"/>
        <v>818</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69</v>
      </c>
      <c r="BD23" s="1198">
        <f t="shared" si="5"/>
        <v>273</v>
      </c>
      <c r="BE23" s="1198">
        <f t="shared" si="5"/>
        <v>0</v>
      </c>
      <c r="BF23" s="1198">
        <f t="shared" si="5"/>
        <v>0</v>
      </c>
      <c r="BG23" s="1198">
        <f>IF(ISNUMBER(Datos!K23/Datos!J23),Datos!K23/Datos!J23," - ")</f>
        <v>0.79151943462897523</v>
      </c>
      <c r="BH23" s="1202">
        <f>IF(ISNUMBER(((Datos!L23/Datos!K23)*11)/factor_trimestre),((Datos!L23/Datos!K23)*11)/factor_trimestre," - ")</f>
        <v>5.4776785714285721</v>
      </c>
      <c r="BI23" s="1198">
        <f>SUBTOTAL(9,BI16:BI22)</f>
        <v>0.33019866988605073</v>
      </c>
      <c r="BJ23" s="1198">
        <f>SUBTOTAL(9,BJ16:BJ22)</f>
        <v>0</v>
      </c>
      <c r="BK23" s="1198">
        <f>SUBTOTAL(9,BK16:BK22)</f>
        <v>0</v>
      </c>
      <c r="BL23" s="1198">
        <f>IF(ISNUMBER((I23-AB23+L23)/(F23)),(I23-AB23+L23)/(F23)," - ")</f>
        <v>-0.68188736681887363</v>
      </c>
      <c r="BM23" s="1205">
        <f>IF(ISNUMBER((Datos!P23-Datos!Q23)/(Datos!R23-Datos!P23+Datos!Q23)),(Datos!P23-Datos!Q23)/(Datos!R23-Datos!P23+Datos!Q23)," - ")</f>
        <v>-1.5267175572519083E-2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675</v>
      </c>
      <c r="G31" s="1117">
        <f t="shared" si="18"/>
        <v>718</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213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454</v>
      </c>
      <c r="AC31" s="1118">
        <f t="shared" si="19"/>
        <v>511</v>
      </c>
      <c r="AD31" s="1118">
        <f t="shared" si="19"/>
        <v>0</v>
      </c>
      <c r="AE31" s="1118">
        <f t="shared" si="19"/>
        <v>0</v>
      </c>
      <c r="AF31" s="1125">
        <f t="shared" si="19"/>
        <v>840</v>
      </c>
      <c r="AG31" s="1125">
        <f t="shared" si="19"/>
        <v>0</v>
      </c>
      <c r="AH31" s="1125">
        <f t="shared" si="19"/>
        <v>50</v>
      </c>
      <c r="AI31" s="1125">
        <f t="shared" si="19"/>
        <v>0</v>
      </c>
      <c r="AJ31" s="1118">
        <f t="shared" si="19"/>
        <v>0</v>
      </c>
      <c r="AK31" s="1125">
        <f t="shared" si="19"/>
        <v>0</v>
      </c>
      <c r="AL31" s="1125">
        <f t="shared" si="19"/>
        <v>0</v>
      </c>
      <c r="AM31" s="1125">
        <f t="shared" si="19"/>
        <v>3950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188</v>
      </c>
      <c r="BD31" s="1117">
        <f t="shared" si="19"/>
        <v>500</v>
      </c>
      <c r="BE31" s="1117">
        <f t="shared" si="19"/>
        <v>0</v>
      </c>
      <c r="BF31" s="1127">
        <f t="shared" si="19"/>
        <v>0</v>
      </c>
      <c r="BG31" s="1223">
        <f>IF(ISNUMBER(Datos!K31/Datos!J31),Datos!K31/Datos!J31," - ")</f>
        <v>0.7353395061728395</v>
      </c>
      <c r="BH31" s="1223">
        <f>IF(ISNUMBER(((Datos!L31/Datos!K31)*11)/factor_trimestre),((Datos!L31/Datos!K31)*11)/factor_trimestre," - ")</f>
        <v>7.492130115424974</v>
      </c>
      <c r="BI31" s="1103">
        <f>IF(ISNUMBER(Datos!J31/Datos!I31),Datos!J31/Datos!I31," - ")</f>
        <v>0.63622974963181145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-0.67259259259259263</v>
      </c>
      <c r="BM31" s="1188">
        <f>IF(ISNUMBER((Datos!P31-Datos!Q31+R31)/(Datos!R31-Datos!P31+Datos!Q31-R31)),(Datos!P31-Datos!Q31+R31)/(Datos!R31-Datos!P31+Datos!Q31-R31)," - ")</f>
        <v>-7.0150659133709978E-2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334.72257169184155</v>
      </c>
      <c r="G33" s="674">
        <f>IF(ISNUMBER(STDEV(G8:G30)),STDEV(G8:G30),"-")</f>
        <v>323.92407987645737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198.53019441696546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50.990195135927848</v>
      </c>
      <c r="BD33" s="673"/>
      <c r="BE33" s="673">
        <f>IF(ISNUMBER(STDEV(BE8:BE30)),STDEV(BE8:BE30),"-")</f>
        <v>0</v>
      </c>
      <c r="BF33" s="678">
        <f>IF(ISNUMBER(STDEV(BF8:BF30)),STDEV(BF8:BF30),"-")</f>
        <v>0</v>
      </c>
      <c r="BG33" s="1052">
        <f>IF(ISNUMBER(STDEV(BG8:BG30)),STDEV(BG8:BG30),"-")</f>
        <v>0.20942808862943738</v>
      </c>
      <c r="BH33" s="1058">
        <f>IF(ISNUMBER(STDEV(BH8:BH30)),STDEV(BH8:BH30),"-")</f>
        <v>3.3850033931898946</v>
      </c>
      <c r="BI33" s="273">
        <f>IF(ISNUMBER(STDEV(BI8:BI30)),STDEV(BI8:BI30),"-")</f>
        <v>7.8823929313979024E-2</v>
      </c>
      <c r="BJ33" s="244" t="str">
        <f>IF(ISNUMBER(BL33/BM33),BL33/BM33," - ")</f>
        <v xml:space="preserve"> - </v>
      </c>
      <c r="BK33" s="709"/>
      <c r="BL33" s="681">
        <f>IF(ISNUMBER(STDEV(BL8:BL30)),STDEV(BL8:BL30),"-")</f>
        <v>0.24646492068754847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zv+a9uktOjor97N5Z5xNdx0f2Vv20ZKh5NHUe0Fry/vm665gQahk+iW/7ADNpxOPNeK6FnRRygKVjBkOqG5KQ==" saltValue="iSbx2Vb4SFRWldySnOzb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BALAGUER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2</v>
      </c>
      <c r="AA10" s="551">
        <f>IF(ISNUMBER(Datos!L10),Datos!L10,"-")</f>
        <v>22</v>
      </c>
      <c r="AB10" s="549"/>
      <c r="AC10" s="549"/>
      <c r="AD10" s="563"/>
      <c r="AE10" s="563">
        <f>IF(ISNUMBER(Datos!R10),Datos!R10," - ")</f>
        <v>16</v>
      </c>
      <c r="AF10" s="693" t="str">
        <f>IF(ISNUMBER(Datos!BV10),Datos!BV10," - ")</f>
        <v xml:space="preserve"> - </v>
      </c>
      <c r="AG10" s="552" t="str">
        <f>IF(ISNUMBER(Datos!DV10),Datos!DV10," - ")</f>
        <v xml:space="preserve"> - </v>
      </c>
      <c r="AH10" s="553"/>
      <c r="AI10" s="554"/>
      <c r="AJ10" s="552">
        <f>IF(ISNUMBER(Datos!M10),Datos!M10," - ")</f>
        <v>3</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500</v>
      </c>
      <c r="AA12" s="551" t="str">
        <f>IF(ISNUMBER(IF(J_V="SI",Datos!L12,Datos!L12+Datos!AB12)-IF(Monitorios="SI",Datos!CD12,0)),
                          IF(J_V="SI",Datos!L12,Datos!L12+Datos!AB12)-IF(Monitorios="SI",Datos!CD12,0),
                          " - ")</f>
        <v xml:space="preserve"> - </v>
      </c>
      <c r="AB12" s="549"/>
      <c r="AC12" s="549"/>
      <c r="AD12" s="563"/>
      <c r="AE12" s="563">
        <f>IF(ISNUMBER(Datos!R12),Datos!R12," - ")</f>
        <v>3805</v>
      </c>
      <c r="AF12" s="693" t="str">
        <f>IF(ISNUMBER(Datos!BV12),Datos!BV12," - ")</f>
        <v xml:space="preserve"> - </v>
      </c>
      <c r="AG12" s="552" t="str">
        <f>IF(ISNUMBER(Datos!DV12),Datos!DV12," - ")</f>
        <v xml:space="preserve"> - </v>
      </c>
      <c r="AH12" s="553"/>
      <c r="AI12" s="554"/>
      <c r="AJ12" s="552">
        <f>IF(ISNUMBER(Datos!M12),Datos!M12," - ")</f>
        <v>116</v>
      </c>
      <c r="AK12" s="693">
        <f>IF(ISNUMBER(Datos!N12),Datos!N12," - ")</f>
        <v>225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9.0170132325141772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-7.2177517678614966E-2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206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502</v>
      </c>
      <c r="AA14" s="1199">
        <f t="shared" si="3"/>
        <v>22</v>
      </c>
      <c r="AB14" s="1199">
        <f t="shared" si="3"/>
        <v>0</v>
      </c>
      <c r="AC14" s="1199">
        <f t="shared" si="3"/>
        <v>0</v>
      </c>
      <c r="AD14" s="1199">
        <f t="shared" si="3"/>
        <v>0</v>
      </c>
      <c r="AE14" s="1199">
        <f t="shared" si="3"/>
        <v>3821</v>
      </c>
      <c r="AF14" s="1211">
        <f t="shared" si="3"/>
        <v>0</v>
      </c>
      <c r="AG14" s="1211">
        <f t="shared" si="3"/>
        <v>0</v>
      </c>
      <c r="AH14" s="1211">
        <f t="shared" si="3"/>
        <v>0</v>
      </c>
      <c r="AI14" s="1211">
        <f t="shared" si="3"/>
        <v>0</v>
      </c>
      <c r="AJ14" s="1211">
        <f t="shared" si="3"/>
        <v>119</v>
      </c>
      <c r="AK14" s="1211">
        <f t="shared" si="3"/>
        <v>227</v>
      </c>
      <c r="AL14" s="1211">
        <f t="shared" si="3"/>
        <v>0</v>
      </c>
      <c r="AM14" s="1211">
        <f t="shared" si="3"/>
        <v>0</v>
      </c>
      <c r="AN14" s="1211">
        <f t="shared" si="3"/>
        <v>0</v>
      </c>
      <c r="AO14" s="1203">
        <f>IF(ISNUMBER(((NºAsuntos!I14/NºAsuntos!G14)*11)/factor_trimestre),((NºAsuntos!I14/NºAsuntos!G14)*11)/factor_trimestre," - ")</f>
        <v>9.0392523364485999</v>
      </c>
      <c r="AP14" s="1213" t="str">
        <f>IF(ISNUMBER(Datos!CI14/Datos!CJ14),Datos!CI14/Datos!CJ14," - ")</f>
        <v xml:space="preserve"> - </v>
      </c>
      <c r="AQ14" s="1236">
        <f t="shared" ref="AQ14:AV14" si="4">SUBTOTAL(9,AQ9:AQ13)</f>
        <v>0</v>
      </c>
      <c r="AR14" s="1236">
        <f t="shared" si="4"/>
        <v>-7.2177517678614966E-2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657</v>
      </c>
      <c r="G17" s="552">
        <f>IF(ISNUMBER(IF(D_I="SI",Datos!I17,Datos!I17+Datos!AC17)),IF(D_I="SI",Datos!I17,Datos!I17+Datos!AC17)," - ")</f>
        <v>657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387</v>
      </c>
      <c r="Z17" s="805">
        <f>IF(ISNUMBER(Datos!Q17),Datos!Q17," - ")</f>
        <v>7</v>
      </c>
      <c r="AA17" s="551">
        <f>IF(ISNUMBER(IF(D_I="SI",Datos!L17,Datos!L17+Datos!AF17)),IF(D_I="SI",Datos!L17,Datos!L17+Datos!AF17)," - ")</f>
        <v>785</v>
      </c>
      <c r="AB17" s="549"/>
      <c r="AC17" s="549"/>
      <c r="AD17" s="563"/>
      <c r="AE17" s="563">
        <f>IF(ISNUMBER(Datos!R17),Datos!R17," - ")</f>
        <v>116</v>
      </c>
      <c r="AF17" s="693" t="str">
        <f>IF(ISNUMBER(Datos!BV17),Datos!BV17," - ")</f>
        <v xml:space="preserve"> - </v>
      </c>
      <c r="AG17" s="552"/>
      <c r="AH17" s="553"/>
      <c r="AI17" s="554"/>
      <c r="AJ17" s="552">
        <f>IF(ISNUMBER(Datos!M17),Datos!M17," - ")</f>
        <v>58</v>
      </c>
      <c r="AK17" s="693">
        <f>IF(ISNUMBER(Datos!N17),Datos!N17," - ")</f>
        <v>249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6.0852713178294584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61</v>
      </c>
      <c r="Z18" s="805">
        <f>IF(ISNUMBER(Datos!Q18),Datos!Q18," - ")</f>
        <v>2</v>
      </c>
      <c r="AA18" s="551">
        <f>IF(ISNUMBER(Datos!L18),Datos!L18,"-")</f>
        <v>33</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11</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1.6229508196721314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657</v>
      </c>
      <c r="G23" s="1197">
        <f>SUBTOTAL(9,G16:G22)</f>
        <v>700</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448</v>
      </c>
      <c r="Z23" s="1240">
        <f t="shared" si="6"/>
        <v>9</v>
      </c>
      <c r="AA23" s="1240">
        <f t="shared" si="6"/>
        <v>818</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69</v>
      </c>
      <c r="AK23" s="1240">
        <f t="shared" si="6"/>
        <v>273</v>
      </c>
      <c r="AL23" s="1240">
        <f t="shared" si="6"/>
        <v>0</v>
      </c>
      <c r="AM23" s="1240">
        <f t="shared" si="6"/>
        <v>0</v>
      </c>
      <c r="AN23" s="1240">
        <f t="shared" si="6"/>
        <v>0</v>
      </c>
      <c r="AO23" s="1242">
        <f>IF(ISNUMBER(((NºAsuntos!I23/NºAsuntos!G23)*11)/factor_trimestre),((NºAsuntos!I23/NºAsuntos!G23)*11)/factor_trimestre," - ")</f>
        <v>5.4776785714285721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675</v>
      </c>
      <c r="G31" s="1117">
        <f t="shared" si="12"/>
        <v>718</v>
      </c>
      <c r="H31" s="1118">
        <f t="shared" si="12"/>
        <v>0</v>
      </c>
      <c r="I31" s="1117">
        <f t="shared" si="12"/>
        <v>0</v>
      </c>
      <c r="J31" s="1119">
        <f t="shared" si="12"/>
        <v>0</v>
      </c>
      <c r="K31" s="1117">
        <f t="shared" si="12"/>
        <v>0</v>
      </c>
      <c r="L31" s="1120">
        <f t="shared" si="12"/>
        <v>0</v>
      </c>
      <c r="M31" s="1117">
        <f t="shared" si="12"/>
        <v>0</v>
      </c>
      <c r="N31" s="1118">
        <f t="shared" si="12"/>
        <v>213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454</v>
      </c>
      <c r="Z31" s="1124">
        <f t="shared" si="13"/>
        <v>511</v>
      </c>
      <c r="AA31" s="1125">
        <f t="shared" si="13"/>
        <v>840</v>
      </c>
      <c r="AB31" s="1125">
        <f t="shared" si="13"/>
        <v>0</v>
      </c>
      <c r="AC31" s="1125">
        <f t="shared" si="13"/>
        <v>0</v>
      </c>
      <c r="AD31" s="1126">
        <f t="shared" si="13"/>
        <v>0</v>
      </c>
      <c r="AE31" s="1126">
        <f t="shared" si="13"/>
        <v>3950</v>
      </c>
      <c r="AF31" s="1127">
        <f t="shared" si="13"/>
        <v>0</v>
      </c>
      <c r="AG31" s="1128">
        <f t="shared" si="13"/>
        <v>0</v>
      </c>
      <c r="AH31" s="1129">
        <f t="shared" si="13"/>
        <v>0</v>
      </c>
      <c r="AI31" s="1127">
        <f t="shared" si="13"/>
        <v>0</v>
      </c>
      <c r="AJ31" s="1117">
        <f t="shared" si="13"/>
        <v>188</v>
      </c>
      <c r="AK31" s="1117">
        <f t="shared" si="13"/>
        <v>500</v>
      </c>
      <c r="AL31" s="1117">
        <f t="shared" si="13"/>
        <v>0</v>
      </c>
      <c r="AM31" s="1130">
        <f t="shared" si="13"/>
        <v>0</v>
      </c>
      <c r="AN31" s="1120">
        <f>IF(ISNUMBER(Datos!K31/Datos!J31),Datos!K31/Datos!J31," - ")</f>
        <v>0.7353395061728395</v>
      </c>
      <c r="AO31" s="1120">
        <f>IF(ISNUMBER(FIND("06",Criterios!A8,1)),(IF(ISNUMBER(((Datos!R31/Datos!Q31)*11)/factor_trimestre),((Datos!R31/Datos!Q31)*11)/factor_trimestre," - ")),(IF(ISNUMBER(((Datos!L31/Datos!K31)*11)/factor_trimestre),((Datos!L31/Datos!K31)*11)/factor_trimestre," - ")))</f>
        <v>7.492130115424974</v>
      </c>
      <c r="AP31" s="1131" t="str">
        <f>IF(ISNUMBER(Datos!CI31/Datos!CJ31),Datos!CI31/Datos!CJ31," - ")</f>
        <v xml:space="preserve"> - </v>
      </c>
      <c r="AQ31" s="1131">
        <f>IF(OR(ISNUMBER(FIND("01",Criterios!A8,1)),ISNUMBER(FIND("02",Criterios!A8,1)),ISNUMBER(FIND("03",Criterios!A8,1)),ISNUMBER(FIND("04",Criterios!A8,1))),(J31-Y31+K31)/(F31-K31),(I31-Y31+K31)/(F31-K31))</f>
        <v>-0.67259259259259263</v>
      </c>
      <c r="AR31" s="1131">
        <f>IF(ISNUMBER((Datos!P31-Datos!Q31+O31)/(Datos!R31-Datos!P31+Datos!Q31-O31)),(Datos!P31-Datos!Q31+O31)/(Datos!R31-Datos!P31+Datos!Q31-O31)," - ")</f>
        <v>-7.0150659133709978E-2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334.72257169184155</v>
      </c>
      <c r="G33" s="674">
        <f>IF(ISNUMBER(STDEV(G8:G30)),STDEV(G8:G30),"-")</f>
        <v>323.92407987645737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50.990195135927848</v>
      </c>
      <c r="AK33" s="276"/>
      <c r="AL33" s="276">
        <f>IF(ISNUMBER(STDEV(AL8:AL30)),STDEV(AL8:AL30),"-")</f>
        <v>0</v>
      </c>
      <c r="AM33" s="278">
        <f>IF(ISNUMBER(STDEV(AM8:AM30)),STDEV(AM8:AM30),"-")</f>
        <v>0</v>
      </c>
      <c r="AN33" s="660">
        <f>IF(ISNUMBER(STDEV(AN8:AN30)),STDEV(AN8:AN30),"-")</f>
        <v>0</v>
      </c>
      <c r="AO33" s="661">
        <f>IF(ISNUMBER(STDEV(AO8:AO30)),STDEV(AO8:AO30),"-")</f>
        <v>3.3551145246929517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5KcT5L66bY1HRGOG92xppDGFWeKhum9MJIB5AG+gIvmSqpNUfXotTahD08K8DR4ozEJiwoeD7BhddYXk/LnfQ==" saltValue="SucW/C33xWNwEK+4MHiy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CFiAbeY3y0Yw4rVYFwDnKT6MbtCT4vIGNO3zltSYw6oay7b7e6W80/f2LJIF7s4Rqcgt9cmxHl8sINUJdszGQ==" saltValue="jSHCmBROHfo05xsHauT/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aApt1NKW5RKGHvxqFoeqDqv1YgNaiIcqYCEYwpg1GeQRnkMCYYadSQemdKGypZGy3NKaoWOhkFj7vNbOxCarA==" saltValue="tDq9+fuioxcOcpsN07ox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BALAGUER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0.22242990654205608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0.15728169525457786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NJi71bKEUqoKEgCIzLYq0H2lmr3NsX2yadl7P59KOWWe5Y4NOQXGenxMZevIWE4223nCgnAh/DZPd6pnK5V1w==" saltValue="dX5D4JF9/k16QBWDdnGC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Tm5T8mFTeBSyfPL2bTrscydLawWgBhGvrh6n039tsRvX7bf1ZnKNSc8FcEPMHj0bac3TsUyK5S3qrFZ0cYKYg==" saltValue="0vh2bI6iaEbR8pKViIRP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BALAGUER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10</v>
      </c>
      <c r="F10" s="452">
        <f>IF(ISNUMBER(E10/B10),E10/B10," - ")</f>
        <v>10</v>
      </c>
      <c r="G10" s="451">
        <f>IF(ISNUMBER(Datos!K10),Datos!K10," - ")</f>
        <v>6</v>
      </c>
      <c r="H10" s="452">
        <f>IF(ISNUMBER(G10/B10),G10/B10," - ")</f>
        <v>6</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1369</v>
      </c>
      <c r="D12" s="452">
        <f>IF(ISNUMBER(C12/Datos!BH12),C12/Datos!BH12," - ")</f>
        <v>456.33333333333331</v>
      </c>
      <c r="E12" s="451">
        <f>IF(ISNUMBER(IF(J_V="SI",Datos!J12,Datos!J12+Datos!Z12)),IF(J_V="SI",Datos!J12,Datos!J12+Datos!Z12)," - ")</f>
        <v>750</v>
      </c>
      <c r="F12" s="452">
        <f>IF(ISNUMBER(E12/B12),E12/B12," - ")</f>
        <v>250</v>
      </c>
      <c r="G12" s="451">
        <f>IF(ISNUMBER(IF(J_V="SI",Datos!K12,Datos!K12+Datos!AA12)),IF(J_V="SI",Datos!K12,Datos!K12+Datos!AA12)," - ")</f>
        <v>529</v>
      </c>
      <c r="H12" s="452">
        <f>IF(ISNUMBER(G12/B12),G12/B12," - ")</f>
        <v>176.33333333333334</v>
      </c>
      <c r="I12" s="451">
        <f>IF(ISNUMBER(IF(J_V="SI",Datos!L12,Datos!L12+Datos!AB12)),IF(J_V="SI",Datos!L12,Datos!L12+Datos!AB12)," - ")</f>
        <v>1590</v>
      </c>
      <c r="J12" s="452">
        <f>IF(ISNUMBER(I12/B12),I12/B12," - ")</f>
        <v>530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1387</v>
      </c>
      <c r="D14" s="1147" t="str">
        <f>IF(ISNUMBER(C14/Datos!BI14),C14/Datos!BI14," - ")</f>
        <v xml:space="preserve"> - </v>
      </c>
      <c r="E14" s="1146">
        <f>SUBTOTAL(9,E8:E13)</f>
        <v>760</v>
      </c>
      <c r="F14" s="1147">
        <f>IF(ISNUMBER(E14/B14),E14/B14," - ")</f>
        <v>253.33333333333334</v>
      </c>
      <c r="G14" s="1146">
        <f>SUBTOTAL(9,G8:G13)</f>
        <v>535</v>
      </c>
      <c r="H14" s="1147">
        <f>IF(ISNUMBER(G14/B14),G14/B14," - ")</f>
        <v>178.33333333333334</v>
      </c>
      <c r="I14" s="1146">
        <f>SUBTOTAL(9,I8:I13)</f>
        <v>1612</v>
      </c>
      <c r="J14" s="1147">
        <f>IF(ISNUMBER(I14/B14),I14/B14," - ")</f>
        <v>537.33333333333337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657</v>
      </c>
      <c r="D17" s="452">
        <f>IF(ISNUMBER(C17/Datos!BH17),C17/Datos!BH17," - ")</f>
        <v>219</v>
      </c>
      <c r="E17" s="451">
        <f>IF(ISNUMBER(IF(D_I="SI",Datos!J17,Datos!J17+Datos!AD17)),IF(D_I="SI",Datos!J17,Datos!J17+Datos!AD17)," - ")</f>
        <v>515</v>
      </c>
      <c r="F17" s="452">
        <f>IF(ISNUMBER(E17/B17),E17/B17," - ")</f>
        <v>171.66666666666666</v>
      </c>
      <c r="G17" s="451">
        <f>IF(ISNUMBER(IF(D_I="SI",Datos!K17,Datos!K17+Datos!AE17)),IF(D_I="SI",Datos!K17,Datos!K17+Datos!AE17)," - ")</f>
        <v>387</v>
      </c>
      <c r="H17" s="452">
        <f>IF(ISNUMBER(G17/B17),G17/B17," - ")</f>
        <v>129</v>
      </c>
      <c r="I17" s="451">
        <f>IF(ISNUMBER(IF(D_I="SI",Datos!L17,Datos!L17+Datos!AF17)),IF(D_I="SI",Datos!L17,Datos!L17+Datos!AF17)," - ")</f>
        <v>785</v>
      </c>
      <c r="J17" s="452">
        <f>IF(ISNUMBER(I17/B17),I17/B17," - ")</f>
        <v>261.66666666666669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43</v>
      </c>
      <c r="D18" s="452">
        <f>IF(ISNUMBER(C18/Datos!BH18),C18/Datos!BH18," - ")</f>
        <v>43</v>
      </c>
      <c r="E18" s="451">
        <f>IF(ISNUMBER(IF(D_I="SI",Datos!J18,Datos!J18+Datos!AD18)),IF(D_I="SI",Datos!J18,Datos!J18+Datos!AD18)," - ")</f>
        <v>51</v>
      </c>
      <c r="F18" s="452">
        <f>IF(ISNUMBER(E18/B18),E18/B18," - ")</f>
        <v>51</v>
      </c>
      <c r="G18" s="451">
        <f>IF(ISNUMBER(IF(D_I="SI",Datos!K18,Datos!K18+Datos!AE18)),IF(D_I="SI",Datos!K18,Datos!K18+Datos!AE18)," - ")</f>
        <v>61</v>
      </c>
      <c r="H18" s="452">
        <f>IF(ISNUMBER(G18/B18),G18/B18," - ")</f>
        <v>61</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700</v>
      </c>
      <c r="D23" s="1147" t="str">
        <f>IF(ISNUMBER(C23/Datos!BI23),C23/Datos!BI23," - ")</f>
        <v xml:space="preserve"> - </v>
      </c>
      <c r="E23" s="1146">
        <f>SUBTOTAL(9,E15:E22)</f>
        <v>566</v>
      </c>
      <c r="F23" s="1147">
        <f>IF(ISNUMBER(E23/B23),E23/B23," - ")</f>
        <v>188.66666666666666</v>
      </c>
      <c r="G23" s="1146">
        <f>SUBTOTAL(9,G15:G22)</f>
        <v>448</v>
      </c>
      <c r="H23" s="1147">
        <f>IF(ISNUMBER(G23/B23),G23/B23," - ")</f>
        <v>149.33333333333334</v>
      </c>
      <c r="I23" s="1146">
        <f>SUBTOTAL(9,I15:I22)</f>
        <v>818</v>
      </c>
      <c r="J23" s="1147">
        <f>IF(ISNUMBER(I23/B23),I23/B23," - ")</f>
        <v>272.66666666666669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2087</v>
      </c>
      <c r="D31" s="1085" t="str">
        <f>IF(ISNUMBER(C31/Datos!BI31),C31/Datos!BI31," - ")</f>
        <v xml:space="preserve"> - </v>
      </c>
      <c r="E31" s="1084">
        <f>SUBTOTAL(9,E9:E30)</f>
        <v>1326</v>
      </c>
      <c r="F31" s="1085">
        <f>IF(ISNUMBER(E31/B31),E31/B31," - ")</f>
        <v>442</v>
      </c>
      <c r="G31" s="1084">
        <f>SUBTOTAL(9,G9:G30)</f>
        <v>983</v>
      </c>
      <c r="H31" s="1085">
        <f>IF(ISNUMBER(G31/B31),G31/B31," - ")</f>
        <v>327.66666666666669</v>
      </c>
      <c r="I31" s="1084">
        <f>SUBTOTAL(9,I9:I30)</f>
        <v>2430</v>
      </c>
      <c r="J31" s="1085">
        <f>IF(ISNUMBER(I31/B31),I31/B31," - ")</f>
        <v>810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L9SC2+TOed/MVyPki+9mAzvJepnnZJSqKKfdQ6Apsue4/0IyoWHc2Gdw8idSjYVaezNMfs49HgKvHn+1aVEGA==" saltValue="HtZpUqVtjl0FhWhsh3U1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BALAGUER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116</v>
      </c>
      <c r="AM12" s="914">
        <f>IF(ISNUMBER(Datos!N12+DatosP!N17),Datos!N12+DatosP!N17," - ")</f>
        <v>225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9.0170132325141772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-7.2177517678614966E-2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206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500</v>
      </c>
      <c r="AE14" s="1257">
        <f t="shared" si="1"/>
        <v>0</v>
      </c>
      <c r="AF14" s="1257">
        <f t="shared" si="1"/>
        <v>22</v>
      </c>
      <c r="AG14" s="1257">
        <f t="shared" si="1"/>
        <v>0</v>
      </c>
      <c r="AH14" s="1257">
        <f t="shared" si="1"/>
        <v>3805</v>
      </c>
      <c r="AI14" s="1257">
        <f t="shared" si="1"/>
        <v>0</v>
      </c>
      <c r="AJ14" s="1257">
        <f t="shared" si="1"/>
        <v>0</v>
      </c>
      <c r="AK14" s="1257">
        <f t="shared" si="1"/>
        <v>0</v>
      </c>
      <c r="AL14" s="1257">
        <f t="shared" si="1"/>
        <v>119</v>
      </c>
      <c r="AM14" s="1257">
        <f t="shared" si="1"/>
        <v>227</v>
      </c>
      <c r="AN14" s="1257">
        <f t="shared" si="1"/>
        <v>0</v>
      </c>
      <c r="AO14" s="1257">
        <f t="shared" si="1"/>
        <v>0</v>
      </c>
      <c r="AP14" s="1262">
        <f>IF(ISNUMBER(((Datos!L14/Datos!K14)*11)/factor_trimestre),((Datos!L14/Datos!K14)*11)/factor_trimestre," - ")</f>
        <v>9.2792079207920803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-7.2177517678614966E-2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5.4776785714285721</v>
      </c>
      <c r="AQ23" s="1262">
        <f>IF(ISNUMBER(((Datos!M23/Datos!L23)*11)/factor_trimestre),((Datos!M23/Datos!L23)*11)/factor_trimestre," - ")</f>
        <v>0.25305623471882643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-1.5267175572519083E-2</v>
      </c>
      <c r="AW23" s="1265">
        <f>IF(ISNUMBER((Datos!Q23-Datos!R23)/(Datos!S23-Datos!Q23+Datos!R23)),(Datos!Q23-Datos!R23)/(Datos!S23-Datos!Q23+Datos!R23)," - ")</f>
        <v>-0.17191977077363896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206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500</v>
      </c>
      <c r="AE31" s="1284">
        <f t="shared" si="9"/>
        <v>0</v>
      </c>
      <c r="AF31" s="1285">
        <f t="shared" si="9"/>
        <v>22</v>
      </c>
      <c r="AG31" s="1285">
        <f t="shared" si="9"/>
        <v>0</v>
      </c>
      <c r="AH31" s="1285">
        <f t="shared" si="9"/>
        <v>3805</v>
      </c>
      <c r="AI31" s="1285">
        <f t="shared" si="9"/>
        <v>0</v>
      </c>
      <c r="AJ31" s="1286">
        <f t="shared" si="9"/>
        <v>0</v>
      </c>
      <c r="AK31" s="1286">
        <f t="shared" si="9"/>
        <v>0</v>
      </c>
      <c r="AL31" s="1278">
        <f t="shared" si="9"/>
        <v>119</v>
      </c>
      <c r="AM31" s="1278">
        <f t="shared" si="9"/>
        <v>227</v>
      </c>
      <c r="AN31" s="1278">
        <f t="shared" si="9"/>
        <v>0</v>
      </c>
      <c r="AO31" s="1278">
        <f t="shared" si="9"/>
        <v>0</v>
      </c>
      <c r="AP31" s="1278">
        <f>IF(ISNUMBER(((Datos!L31/Datos!K31)*11)/factor_trimestre),((Datos!L31/Datos!K31)*11)/factor_trimestre," - ")</f>
        <v>7.492130115424974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-7.0150659133709978E-2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60.308097853162863</v>
      </c>
      <c r="AM33" s="1006"/>
      <c r="AN33" s="1006">
        <f>IF(ISNUMBER(STDEV(AN8:AN30)),STDEV(AN8:AN30),"-")</f>
        <v>0</v>
      </c>
      <c r="AO33" s="1012">
        <f>IF(ISNUMBER(STDEV(AO8:AO30)),STDEV(AO8:AO30),"-")</f>
        <v>0</v>
      </c>
      <c r="AP33" s="1065">
        <f>IF(ISNUMBER(STDEV(AP8:AP30)),STDEV(AP8:AP30),"-")</f>
        <v>2.3172659384164964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xqGyLL+Wix11Cz1UuwMD+rO60+7PjmyIQyyp5B3w2HTbNSdUJ4xaWqR9gU6nOcsba/jZ0Ga7S7NOpL2J6Bwnw==" saltValue="061/Qv2vLRCWGGSl0eIw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BALAGUER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LyxLt++SEHfr2jaDkh5Kunqk2oef5iE6MNipL8eNVfoZQ7A2BxVWktd60GgxERWEGjp6l8xSpOdJIKy/BnqXg==" saltValue="gZSWocvLsJVIs81wsGwv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BALAGUER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116</v>
      </c>
      <c r="E12" s="452">
        <f t="shared" si="0"/>
        <v>38.666666666666664</v>
      </c>
      <c r="F12" s="451">
        <f>IF(ISNUMBER(Datos!N12),Datos!N12," - ")</f>
        <v>225</v>
      </c>
      <c r="G12" s="452">
        <f t="shared" si="1"/>
        <v>75</v>
      </c>
      <c r="H12" s="451">
        <f>IF(ISNUMBER(Datos!O12),Datos!O12," - ")</f>
        <v>310</v>
      </c>
      <c r="I12" s="452">
        <f t="shared" si="2"/>
        <v>103.33333333333333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119</v>
      </c>
      <c r="E14" s="1147">
        <f t="shared" si="0"/>
        <v>29.75</v>
      </c>
      <c r="F14" s="1146">
        <f>SUBTOTAL(9,F9:F13)</f>
        <v>227</v>
      </c>
      <c r="G14" s="1147">
        <f t="shared" si="1"/>
        <v>56.75</v>
      </c>
      <c r="H14" s="1146">
        <f>SUBTOTAL(9,H9:H13)</f>
        <v>312</v>
      </c>
      <c r="I14" s="1147">
        <f>IF(ISNUMBER(H14/B14),H14/B14," - ")</f>
        <v>78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58</v>
      </c>
      <c r="E17" s="452">
        <f t="shared" si="3"/>
        <v>19.333333333333332</v>
      </c>
      <c r="F17" s="451">
        <f>IF(ISNUMBER(Datos!N17),Datos!N17," - ")</f>
        <v>249</v>
      </c>
      <c r="G17" s="452">
        <f t="shared" si="4"/>
        <v>83</v>
      </c>
      <c r="H17" s="451">
        <f>IF(ISNUMBER(Datos!O17),Datos!O17," - ")</f>
        <v>7</v>
      </c>
      <c r="I17" s="452">
        <f t="shared" si="5"/>
        <v>2.3333333333333335</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69</v>
      </c>
      <c r="E23" s="1147">
        <f t="shared" si="3"/>
        <v>17.25</v>
      </c>
      <c r="F23" s="1146">
        <f>SUBTOTAL(9,F16:F22)</f>
        <v>273</v>
      </c>
      <c r="G23" s="1147">
        <f t="shared" si="4"/>
        <v>68.25</v>
      </c>
      <c r="H23" s="1146">
        <f>SUBTOTAL(9,H16:H22)</f>
        <v>7</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188</v>
      </c>
      <c r="E31" s="1085">
        <f>IF(ISNUMBER(D31/B31),D31/B31," - ")</f>
        <v>62.666666666666664</v>
      </c>
      <c r="F31" s="1084">
        <f>SUBTOTAL(9,F8:F30)</f>
        <v>500</v>
      </c>
      <c r="G31" s="1085">
        <f>IF(ISNUMBER(F31/B31),F31/B31," - ")</f>
        <v>166.66666666666666</v>
      </c>
      <c r="H31" s="1084">
        <f>SUBTOTAL(9,H8:H30)</f>
        <v>319</v>
      </c>
      <c r="I31" s="1085">
        <f>IF(ISNUMBER(H31/B31),H31/B31," - ")</f>
        <v>106.33333333333333</v>
      </c>
    </row>
    <row r="34" spans="1:1">
      <c r="A34" s="439" t="str">
        <f>Criterios!A4</f>
        <v>Fecha Informe: 06 may. 2023</v>
      </c>
    </row>
    <row r="39" spans="1:1">
      <c r="A39" s="462"/>
    </row>
  </sheetData>
  <sheetProtection algorithmName="SHA-512" hashValue="0VDfBaxYj6tvRxCdhT+xwtzvFEiHroY7Iutv5SHqYRTT0+TTPzmK1hFjIMoGpXG5v7HVt6KZblrfjCtYQF1LEQ==" saltValue="AYWf7hZJouId8aGEzpSk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BALAGUER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16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204</v>
      </c>
      <c r="C12" s="489">
        <f>IF(ISNUMBER(Datos!Q12),Datos!Q12," - ")</f>
        <v>500</v>
      </c>
      <c r="D12" s="456">
        <f>IF(ISNUMBER(Datos!R12),Datos!R12," - ")</f>
        <v>3805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206</v>
      </c>
      <c r="C14" s="1150">
        <f>SUBTOTAL(9,C9:C13)</f>
        <v>502</v>
      </c>
      <c r="D14" s="1148">
        <f>SUBTOTAL(9,D9:D13)</f>
        <v>3821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7</v>
      </c>
      <c r="D17" s="456">
        <f>IF(ISNUMBER(Datos!R17),Datos!R17," - ")</f>
        <v>116</v>
      </c>
    </row>
    <row r="18" spans="1:4">
      <c r="A18" s="450" t="str">
        <f>Datos!A18</f>
        <v>Jdos. Violencia contra la mujer</v>
      </c>
      <c r="B18" s="488">
        <f>IF(ISNUMBER(Datos!P18),Datos!P18," - ")</f>
        <v>0</v>
      </c>
      <c r="C18" s="489">
        <f>IF(ISNUMBER(Datos!Q18),Datos!Q18," - ")</f>
        <v>2</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9</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213</v>
      </c>
      <c r="C31" s="1089">
        <f>SUBTOTAL(9,C8:C30)</f>
        <v>511</v>
      </c>
      <c r="D31" s="1090">
        <f>SUBTOTAL(9,D8:D30)</f>
        <v>3950</v>
      </c>
    </row>
    <row r="32" spans="1:4" ht="7.5" customHeight="1"/>
    <row r="33" spans="1:1" ht="6" customHeight="1"/>
    <row r="34" spans="1:1">
      <c r="A34" s="439" t="str">
        <f>Criterios!A4</f>
        <v>Fecha Informe: 06 may. 2023</v>
      </c>
    </row>
    <row r="39" spans="1:1">
      <c r="A39" s="462"/>
    </row>
  </sheetData>
  <sheetProtection algorithmName="SHA-512" hashValue="eHSRPpuxeF4OcxJGUZmWdE0EcPbemZ4jZlTINCfQxeol3sUSiJ4ZGSUx5Xoik7VTnMaMSGM0of2SBDOeuwqZsw==" saltValue="D3cDEOjY3K2bcqFxmFGZ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BALAGUER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v>
      </c>
      <c r="D10" s="515">
        <f>IF(ISNUMBER((Datos!K10-Datos!U10)/Datos!U10),(Datos!K10-Datos!U10)/Datos!U10," - ")</f>
        <v>0</v>
      </c>
      <c r="E10" s="515">
        <f>IF(ISNUMBER((Datos!L10-Datos!V10)/Datos!V10),(Datos!L10-Datos!V10)/Datos!V10," - ")</f>
        <v>0.15789473684210525</v>
      </c>
      <c r="F10" s="515">
        <f>IF(ISNUMBER((Datos!M10-Datos!W10)/Datos!W10),(Datos!M10-Datos!W10)/Datos!W10," - ")</f>
        <v>0.5</v>
      </c>
      <c r="G10" s="516">
        <f>IF(ISNUMBER((Datos!N10-Datos!X10)/Datos!X10),(Datos!N10-Datos!X10)/Datos!X10," - ")</f>
        <v>-0.33333333333333331</v>
      </c>
      <c r="H10" s="514">
        <f>IF(ISNUMBER(((NºAsuntos!G10/NºAsuntos!E10)-Datos!BD10)/Datos!BD10),((NºAsuntos!G10/NºAsuntos!E10)-Datos!BD10)/Datos!BD10," - ")</f>
        <v>0</v>
      </c>
      <c r="I10" s="515">
        <f>IF(ISNUMBER(((NºAsuntos!I10/NºAsuntos!G10)-Datos!BE10)/Datos!BE10),((NºAsuntos!I10/NºAsuntos!G10)-Datos!BE10)/Datos!BE10," - ")</f>
        <v>0.15789473684210528</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0.12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0.44561774023231254</v>
      </c>
      <c r="C12" s="515">
        <f>IF(ISNUMBER(
   IF(J_V="SI",(Datos!J12-Datos!T12)/Datos!T12,(Datos!J12+Datos!Z12-(Datos!T12+Datos!AH12))/(Datos!T12+Datos!AH12))
     ),IF(J_V="SI",(Datos!J12-Datos!T12)/Datos!T12,(Datos!J12+Datos!Z12-(Datos!T12+Datos!AH12))/(Datos!T12+Datos!AH12))," - ")</f>
        <v>0.35869565217391303</v>
      </c>
      <c r="D12" s="515">
        <f>IF(ISNUMBER(
   IF(J_V="SI",(Datos!K12-Datos!U12)/Datos!U12,(Datos!K12+Datos!AA12-(Datos!U12+Datos!AI12))/(Datos!U12+Datos!AI12))
     ),IF(J_V="SI",(Datos!K12-Datos!U12)/Datos!U12,(Datos!K12+Datos!AA12-(Datos!U12+Datos!AI12))/(Datos!U12+Datos!AI12))," - ")</f>
        <v>0.33249370277078083</v>
      </c>
      <c r="E12" s="515">
        <f>IF(ISNUMBER(
   IF(J_V="SI",(Datos!L12-Datos!V12)/Datos!V12,(Datos!L12+Datos!AB12-(Datos!V12+Datos!AJ12))/(Datos!V12+Datos!AJ12))
     ),IF(J_V="SI",(Datos!L12-Datos!V12)/Datos!V12,(Datos!L12+Datos!AB12-(Datos!V12+Datos!AJ12))/(Datos!V12+Datos!AJ12))," - ")</f>
        <v>0.4272890484739677</v>
      </c>
      <c r="F12" s="515">
        <f>IF(ISNUMBER((Datos!M12-Datos!W12)/Datos!W12),(Datos!M12-Datos!W12)/Datos!W12," - ")</f>
        <v>-1.6949152542372881E-2</v>
      </c>
      <c r="G12" s="516">
        <f>IF(ISNUMBER((Datos!N12-Datos!X12)/Datos!X12),(Datos!N12-Datos!X12)/Datos!X12," - ")</f>
        <v>0.49006622516556292</v>
      </c>
      <c r="H12" s="514">
        <f>IF(ISNUMBER(((NºAsuntos!G12/NºAsuntos!E12)-Datos!BD12)/Datos!BD12),((NºAsuntos!G12/NºAsuntos!E12)-Datos!BD12)/Datos!BD12," - ")</f>
        <v>-1.9284634760705206E-2</v>
      </c>
      <c r="I12" s="515">
        <f>IF(ISNUMBER(((NºAsuntos!I12/NºAsuntos!G12)-Datos!BE12)/Datos!BE12),((NºAsuntos!I12/NºAsuntos!G12)-Datos!BE12)/Datos!BE12," - ")</f>
        <v>7.1141308590104257E-2</v>
      </c>
      <c r="J12" s="521">
        <f>IF(ISNUMBER((('Resol  Asuntos'!D12/NºAsuntos!G12)-Datos!BF12)/Datos!BF12),(('Resol  Asuntos'!D12/NºAsuntos!G12)-Datos!BF12)/Datos!BF12," - ")</f>
        <v>-0.42347801049086736</v>
      </c>
      <c r="K12" s="522">
        <f>IF(ISNUMBER((((NºAsuntos!C12+NºAsuntos!E12)/NºAsuntos!G12)-Datos!BG12)/Datos!BG12),(((NºAsuntos!C12+NºAsuntos!E12)/NºAsuntos!G12)-Datos!BG12)/Datos!BG12," - ")</f>
        <v>6.0874861754086837E-2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0.44178794178794178</v>
      </c>
      <c r="C14" s="1152">
        <f>IF(ISNUMBER(
   IF(J_V="SI",(Datos!J14-Datos!T14)/Datos!T14,(Datos!J14+Datos!Z14-(Datos!T14+Datos!AH14))/(Datos!T14+Datos!AH14))
     ),IF(J_V="SI",(Datos!J14-Datos!T14)/Datos!T14,(Datos!J14+Datos!Z14-(Datos!T14+Datos!AH14))/(Datos!T14+Datos!AH14))," - ")</f>
        <v>0.35231316725978645</v>
      </c>
      <c r="D14" s="1152">
        <f>IF(ISNUMBER(
   IF(J_V="SI",(Datos!K14-Datos!U14)/Datos!U14,(Datos!K14+Datos!AA14-(Datos!U14+Datos!AI14))/(Datos!U14+Datos!AI14))
     ),IF(J_V="SI",(Datos!K14-Datos!U14)/Datos!U14,(Datos!K14+Datos!AA14-(Datos!U14+Datos!AI14))/(Datos!U14+Datos!AI14))," - ")</f>
        <v>0.32754342431761785</v>
      </c>
      <c r="E14" s="1152">
        <f>IF(ISNUMBER(
   IF(J_V="SI",(Datos!L14-Datos!V14)/Datos!V14,(Datos!L14+Datos!AB14-(Datos!V14+Datos!AJ14))/(Datos!V14+Datos!AJ14))
     ),IF(J_V="SI",(Datos!L14-Datos!V14)/Datos!V14,(Datos!L14+Datos!AB14-(Datos!V14+Datos!AJ14))/(Datos!V14+Datos!AJ14))," - ")</f>
        <v>0.4227714033539276</v>
      </c>
      <c r="F14" s="1153">
        <f>IF(ISNUMBER((Datos!M14-Datos!W14)/Datos!W14),(Datos!M14-Datos!W14)/Datos!W14," - ")</f>
        <v>-8.3333333333333332E-3</v>
      </c>
      <c r="G14" s="1154">
        <f>IF(ISNUMBER((Datos!N14-Datos!X14)/Datos!X14),(Datos!N14-Datos!X14)/Datos!X14," - ")</f>
        <v>0.47402597402597402</v>
      </c>
      <c r="H14" s="1154">
        <f>IF(ISNUMBER(((NºAsuntos!G14/NºAsuntos!E14)-Datos!BD14)/Datos!BD14),((NºAsuntos!G14/NºAsuntos!E14)-Datos!BD14)/Datos!BD14," - ")</f>
        <v>-1.8316573070393027E-2</v>
      </c>
      <c r="I14" s="1154">
        <f>IF(ISNUMBER(((NºAsuntos!I14/NºAsuntos!G14)-Datos!BE14)/Datos!BE14),((NºAsuntos!I14/NºAsuntos!G14)-Datos!BE14)/Datos!BE14," - ")</f>
        <v>7.1732477666603484E-2</v>
      </c>
      <c r="J14" s="1154">
        <f>IF(ISNUMBER((('Resol  Asuntos'!D14/NºAsuntos!G14)-Datos!BF14)/Datos!BF14),(('Resol  Asuntos'!D14/NºAsuntos!G14)-Datos!BF14)/Datos!BF14," - ")</f>
        <v>-0.41412253374870195</v>
      </c>
      <c r="K14" s="1154">
        <f>IF(ISNUMBER((((NºAsuntos!C14+NºAsuntos!E14)/NºAsuntos!G14)-Datos!BG14)/Datos!BG14),(((NºAsuntos!C14+NºAsuntos!E14)/NºAsuntos!G14)-Datos!BG14)/Datos!BG14," - ")</f>
        <v>6.1202688448990482E-2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0.24667931688804554</v>
      </c>
      <c r="C17" s="515">
        <f>IF(ISNUMBER(
   IF(D_I="SI",(Datos!J17-Datos!T17)/Datos!T17,(Datos!J17+Datos!AD17-(Datos!T17+Datos!AL17))/(Datos!T17+Datos!AL17))
     ),IF(D_I="SI",(Datos!J17-Datos!T17)/Datos!T17,(Datos!J17+Datos!AD17-(Datos!T17+Datos!AL17))/(Datos!T17+Datos!AL17))," - ")</f>
        <v>0.14190687361419069</v>
      </c>
      <c r="D17" s="515">
        <f>IF(ISNUMBER(
   IF(D_I="SI",(Datos!K17-Datos!U17)/Datos!U17,(Datos!K17+Datos!AE17-(Datos!U17+Datos!AM17))/(Datos!U17+Datos!AM17))
     ),IF(D_I="SI",(Datos!K17-Datos!U17)/Datos!U17,(Datos!K17+Datos!AE17-(Datos!U17+Datos!AM17))/(Datos!U17+Datos!AM17))," - ")</f>
        <v>-0.2165991902834008</v>
      </c>
      <c r="E17" s="515">
        <f>IF(ISNUMBER(
   IF(D_I="SI",(Datos!L17-Datos!V17)/Datos!V17,(Datos!L17+Datos!AF17-(Datos!V17+Datos!AN17))/(Datos!V17+Datos!AN17))
     ),IF(D_I="SI",(Datos!L17-Datos!V17)/Datos!V17,(Datos!L17+Datos!AF17-(Datos!V17+Datos!AN17))/(Datos!V17+Datos!AN17))," - ")</f>
        <v>0.60531697341513291</v>
      </c>
      <c r="F17" s="515">
        <f>IF(ISNUMBER((Datos!M17-Datos!W17)/Datos!W17),(Datos!M17-Datos!W17)/Datos!W17," - ")</f>
        <v>-0.43689320388349512</v>
      </c>
      <c r="G17" s="516">
        <f>IF(ISNUMBER((Datos!N17-Datos!X17)/Datos!X17),(Datos!N17-Datos!X17)/Datos!X17," - ")</f>
        <v>-0.12014134275618374</v>
      </c>
      <c r="H17" s="514">
        <f>IF(ISNUMBER(((NºAsuntos!G17/NºAsuntos!E17)-Datos!BD17)/Datos!BD17),((NºAsuntos!G17/NºAsuntos!E17)-Datos!BD17)/Datos!BD17," - ")</f>
        <v>-0.31395385401517245</v>
      </c>
      <c r="I17" s="515">
        <f>IF(ISNUMBER(((NºAsuntos!I17/NºAsuntos!G17)-Datos!BE17)/Datos!BE17),((NºAsuntos!I17/NºAsuntos!G17)-Datos!BE17)/Datos!BE17," - ")</f>
        <v>1.049164301982108</v>
      </c>
      <c r="J17" s="521">
        <f>IF(ISNUMBER((('Resol  Asuntos'!D17/NºAsuntos!G17)-Datos!BF17)/Datos!BF17),(('Resol  Asuntos'!D17/NºAsuntos!G17)-Datos!BF17)/Datos!BF17," - ")</f>
        <v>-0.28120217756704546</v>
      </c>
      <c r="K17" s="522">
        <f>IF(ISNUMBER((((NºAsuntos!C17+NºAsuntos!E17)/NºAsuntos!G17)-Datos!BG17)/Datos!BG17),(((NºAsuntos!C17+NºAsuntos!E17)/NºAsuntos!G17)-Datos!BG17)/Datos!BG17," - ")</f>
        <v>0.52969462542868184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-0.15686274509803921</v>
      </c>
      <c r="C18" s="515">
        <f>IF(ISNUMBER(
   IF(D_I="SI",(Datos!J18-Datos!T18)/Datos!T18,(Datos!J18+Datos!AD18-(Datos!T18+Datos!AL18))/(Datos!T18+Datos!AL18))
     ),IF(D_I="SI",(Datos!J18-Datos!T18)/Datos!T18,(Datos!J18+Datos!AD18-(Datos!T18+Datos!AL18))/(Datos!T18+Datos!AL18))," - ")</f>
        <v>0.13333333333333333</v>
      </c>
      <c r="D18" s="515">
        <f>IF(ISNUMBER(
   IF(D_I="SI",(Datos!K18-Datos!U18)/Datos!U18,(Datos!K18+Datos!AE18-(Datos!U18+Datos!AM18))/(Datos!U18+Datos!AM18))
     ),IF(D_I="SI",(Datos!K18-Datos!U18)/Datos!U18,(Datos!K18+Datos!AE18-(Datos!U18+Datos!AM18))/(Datos!U18+Datos!AM18))," - ")</f>
        <v>0.38636363636363635</v>
      </c>
      <c r="E18" s="515">
        <f>IF(ISNUMBER(
   IF(D_I="SI",(Datos!L18-Datos!V18)/Datos!V18,(Datos!L18+Datos!AF18-(Datos!V18+Datos!AN18))/(Datos!V18+Datos!AN18))
     ),IF(D_I="SI",(Datos!L18-Datos!V18)/Datos!V18,(Datos!L18+Datos!AF18-(Datos!V18+Datos!AN18))/(Datos!V18+Datos!AN18))," - ")</f>
        <v>-0.3888888888888889</v>
      </c>
      <c r="F18" s="515">
        <f>IF(ISNUMBER((Datos!M18-Datos!W18)/Datos!W18),(Datos!M18-Datos!W18)/Datos!W18," - ")</f>
        <v>-0.15384615384615385</v>
      </c>
      <c r="G18" s="516">
        <f>IF(ISNUMBER((Datos!N18-Datos!X18)/Datos!X18),(Datos!N18-Datos!X18)/Datos!X18," - ")</f>
        <v>0.14285714285714285</v>
      </c>
      <c r="H18" s="514">
        <f>IF(ISNUMBER(((NºAsuntos!G18/NºAsuntos!E18)-Datos!BD18)/Datos!BD18),((NºAsuntos!G18/NºAsuntos!E18)-Datos!BD18)/Datos!BD18," - ")</f>
        <v>0.2232620320855615</v>
      </c>
      <c r="I18" s="515">
        <f>IF(ISNUMBER(((NºAsuntos!I18/NºAsuntos!G18)-Datos!BE18)/Datos!BE18),((NºAsuntos!I18/NºAsuntos!G18)-Datos!BE18)/Datos!BE18," - ")</f>
        <v>-0.55919854280510017</v>
      </c>
      <c r="J18" s="521">
        <f>IF(ISNUMBER((('Resol  Asuntos'!D18/NºAsuntos!G18)-Datos!BF18)/Datos!BF18),(('Resol  Asuntos'!D18/NºAsuntos!G18)-Datos!BF18)/Datos!BF18," - ")</f>
        <v>-0.38965952080706179</v>
      </c>
      <c r="K18" s="522">
        <f>IF(ISNUMBER((((NºAsuntos!C18+NºAsuntos!E18)/NºAsuntos!G18)-Datos!BG18)/Datos!BG18),(((NºAsuntos!C18+NºAsuntos!E18)/NºAsuntos!G18)-Datos!BG18)/Datos!BG18," - ")</f>
        <v>-0.29371584699453551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0.21107266435986158</v>
      </c>
      <c r="C23" s="1152">
        <f>IF(ISNUMBER(
   IF(Criterios!B14="SI",(Datos!J23-Datos!T23)/Datos!T23,(Datos!J23+Datos!AD23-(Datos!T23+Datos!AL23))/(Datos!T23+Datos!AL23))
     ),IF(Criterios!B14="SI",(Datos!J23-Datos!T23)/Datos!T23,(Datos!J23+Datos!AD23-(Datos!T23+Datos!AL23))/(Datos!T23+Datos!AL23))," - ")</f>
        <v>0.14112903225806453</v>
      </c>
      <c r="D23" s="1152">
        <f>IF(ISNUMBER(
   IF(Criterios!B14="SI",(Datos!K23-Datos!U23)/Datos!U23,(Datos!K23+Datos!AE23-(Datos!U23+Datos!AM23))/(Datos!U23+Datos!AM23))
     ),IF(Criterios!B14="SI",(Datos!K23-Datos!U23)/Datos!U23,(Datos!K23+Datos!AE23-(Datos!U23+Datos!AM23))/(Datos!U23+Datos!AM23))," - ")</f>
        <v>-0.16728624535315986</v>
      </c>
      <c r="E23" s="1152">
        <f>IF(ISNUMBER(
   IF(Criterios!B14="SI",(Datos!L23-Datos!V23)/Datos!V23,(Datos!L23+Datos!AF23-(Datos!V23+Datos!AN23))/(Datos!V23+Datos!AN23))
     ),IF(Criterios!B14="SI",(Datos!L23-Datos!V23)/Datos!V23,(Datos!L23+Datos!AF23-(Datos!V23+Datos!AN23))/(Datos!V23+Datos!AN23))," - ")</f>
        <v>0.50644567219152858</v>
      </c>
      <c r="F23" s="1153">
        <f>IF(ISNUMBER((Datos!M23-Datos!W23)/Datos!W23),(Datos!M23-Datos!W23)/Datos!W23," - ")</f>
        <v>-0.40517241379310343</v>
      </c>
      <c r="G23" s="1154">
        <f>IF(ISNUMBER((Datos!N23-Datos!X23)/Datos!X23),(Datos!N23-Datos!X23)/Datos!X23," - ")</f>
        <v>-0.10197368421052631</v>
      </c>
      <c r="H23" s="1154">
        <f>IF(ISNUMBER(((NºAsuntos!G23/NºAsuntos!E23)-Datos!BD23)/Datos!BD23),((NºAsuntos!G23/NºAsuntos!E23)-Datos!BD23)/Datos!BD23," - ")</f>
        <v>-0.27027204539782212</v>
      </c>
      <c r="I23" s="1154">
        <f>IF(ISNUMBER(((NºAsuntos!I23/NºAsuntos!G23)-Datos!BE23)/Datos!BE23),((NºAsuntos!I23/NºAsuntos!G23)-Datos!BE23)/Datos!BE23," - ")</f>
        <v>0.80907984740857675</v>
      </c>
      <c r="J23" s="1154">
        <f>IF(ISNUMBER((('Resol  Asuntos'!D23/NºAsuntos!G23)-Datos!BF23)/Datos!BF23),(('Resol  Asuntos'!D23/NºAsuntos!G23)-Datos!BF23)/Datos!BF23," - ")</f>
        <v>-0.28567580049261082</v>
      </c>
      <c r="K23" s="1154">
        <f>IF(ISNUMBER((((NºAsuntos!C23+NºAsuntos!E23)/NºAsuntos!G23)-Datos!BG23)/Datos!BG23),(((NºAsuntos!C23+NºAsuntos!E23)/NºAsuntos!G23)-Datos!BG23)/Datos!BG23," - ")</f>
        <v>0.41557761372705504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0.35519480519480517</v>
      </c>
      <c r="C31" s="1092">
        <f>IF(ISNUMBER(
   IF(J_V="SI",(Datos!J31-Datos!T31)/Datos!T31,(Datos!J31+Datos!Z31-(Datos!T31+Datos!AH31))/(Datos!T31+Datos!AH31))
     ),IF(J_V="SI",(Datos!J31-Datos!T31)/Datos!T31,(Datos!J31+Datos!Z31-(Datos!T31+Datos!AH31))/(Datos!T31+Datos!AH31))," - ")</f>
        <v>0.25330812854442342</v>
      </c>
      <c r="D31" s="1092">
        <f>IF(ISNUMBER(
   IF(J_V="SI",(Datos!K31-Datos!U31)/Datos!U31,(Datos!K31+Datos!AA31-(Datos!U31+Datos!AI31))/(Datos!U31+Datos!AI31))
     ),IF(J_V="SI",(Datos!K31-Datos!U31)/Datos!U31,(Datos!K31+Datos!AA31-(Datos!U31+Datos!AI31))/(Datos!U31+Datos!AI31))," - ")</f>
        <v>4.4633368756641874E-2</v>
      </c>
      <c r="E31" s="1092">
        <f>IF(ISNUMBER(
   IF(J_V="SI",(Datos!L31-Datos!V31)/Datos!V31,(Datos!L31+Datos!AB31-(Datos!V31+Datos!AJ31))/(Datos!V31+Datos!AJ31))
     ),IF(J_V="SI",(Datos!L31-Datos!V31)/Datos!V31,(Datos!L31+Datos!AB31-(Datos!V31+Datos!AJ31))/(Datos!V31+Datos!AJ31))," - ")</f>
        <v>0.44988066825775658</v>
      </c>
      <c r="F31" s="1093">
        <f>IF(ISNUMBER((Datos!M31-Datos!W31)/Datos!W31),(Datos!M31-Datos!W31)/Datos!W31," - ")</f>
        <v>-0.20338983050847459</v>
      </c>
      <c r="G31" s="1094">
        <f>IF(ISNUMBER((Datos!N31-Datos!X31)/Datos!X31),(Datos!N31-Datos!X31)/Datos!X31," - ")</f>
        <v>9.1703056768558958E-2</v>
      </c>
      <c r="H31" s="1095">
        <f>IF(ISNUMBER((Tasas!B31-Datos!BD31)/Datos!BD31),(Tasas!B31-Datos!BD31)/Datos!BD31," - ")</f>
        <v>-0.16649916731181971</v>
      </c>
      <c r="I31" s="1096">
        <f>IF(ISNUMBER((Tasas!C31-Datos!BE31)/Datos!BE31),(Tasas!C31-Datos!BE31)/Datos!BE31," - ")</f>
        <v>0.38793256239119928</v>
      </c>
      <c r="J31" s="1097">
        <f>IF(ISNUMBER((Tasas!D31-Datos!BF31)/Datos!BF31),(Tasas!D31-Datos!BF31)/Datos!BF31," - ")</f>
        <v>-0.33097603497373562</v>
      </c>
      <c r="K31" s="1097">
        <f>IF(ISNUMBER((Tasas!E31-Datos!BG31)/Datos!BG31),(Tasas!E31-Datos!BG31)/Datos!BG31," - ")</f>
        <v>0.25757312339016541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cLx9Q2Zw02YYzyRVmCyZxIl84agLq7iBuxq53h81xN3h8u2HN5qU79ge0M8qt82Saw8ujWU36xL/+8nRAsnog==" saltValue="6XNRQWR+giNmhL6jRFHg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BALAGUER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3.6666666666666665</v>
      </c>
      <c r="D10" s="499">
        <f>IF(ISNUMBER('Resol  Asuntos'!D10/NºAsuntos!G10),'Resol  Asuntos'!D10/NºAsuntos!G10," - ")</f>
        <v>0.5</v>
      </c>
      <c r="E10" s="500">
        <f>IF(ISNUMBER((NºAsuntos!C10+NºAsuntos!E10)/NºAsuntos!G10),(NºAsuntos!C10+NºAsuntos!E10)/NºAsuntos!G10," - ")</f>
        <v>4.666666666666667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0.70533333333333337</v>
      </c>
      <c r="C12" s="498">
        <f>IF(ISNUMBER(NºAsuntos!I12/NºAsuntos!G12),NºAsuntos!I12/NºAsuntos!G12," - ")</f>
        <v>3.0056710775047257</v>
      </c>
      <c r="D12" s="499">
        <f>IF(ISNUMBER('Resol  Asuntos'!D12/NºAsuntos!G12),'Resol  Asuntos'!D12/NºAsuntos!G12," - ")</f>
        <v>0.21928166351606806</v>
      </c>
      <c r="E12" s="500">
        <f>IF(ISNUMBER((NºAsuntos!C12+NºAsuntos!E12)/NºAsuntos!G12),(NºAsuntos!C12+NºAsuntos!E12)/NºAsuntos!G12," - ")</f>
        <v>4.0056710775047257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0.70394736842105265</v>
      </c>
      <c r="C14" s="1156">
        <f>IF(ISNUMBER(NºAsuntos!I14/NºAsuntos!G14),NºAsuntos!I14/NºAsuntos!G14," - ")</f>
        <v>3.0130841121495329</v>
      </c>
      <c r="D14" s="1157">
        <f>IF(ISNUMBER('Resol  Asuntos'!D14/NºAsuntos!G14),'Resol  Asuntos'!D14/NºAsuntos!G14," - ")</f>
        <v>0.22242990654205608</v>
      </c>
      <c r="E14" s="1158">
        <f>IF(ISNUMBER((NºAsuntos!C14+NºAsuntos!E14)/NºAsuntos!G14),(NºAsuntos!C14+NºAsuntos!E14)/NºAsuntos!G14," - ")</f>
        <v>4.0130841121495324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0.75145631067961161</v>
      </c>
      <c r="C17" s="498">
        <f>IF(ISNUMBER(NºAsuntos!I17/NºAsuntos!G17),NºAsuntos!I17/NºAsuntos!G17," - ")</f>
        <v>2.0284237726098193</v>
      </c>
      <c r="D17" s="499">
        <f>IF(ISNUMBER('Resol  Asuntos'!D17/NºAsuntos!G17),'Resol  Asuntos'!D17/NºAsuntos!G17," - ")</f>
        <v>0.14987080103359174</v>
      </c>
      <c r="E17" s="500">
        <f>IF(ISNUMBER((NºAsuntos!C17+NºAsuntos!E17)/NºAsuntos!G17),(NºAsuntos!C17+NºAsuntos!E17)/NºAsuntos!G17," - ")</f>
        <v>3.0284237726098193</v>
      </c>
      <c r="G17" s="523"/>
    </row>
    <row r="18" spans="1:7">
      <c r="A18" s="450" t="str">
        <f>Datos!A18</f>
        <v>Jdos. Violencia contra la mujer</v>
      </c>
      <c r="B18" s="497">
        <f>IF(ISNUMBER(NºAsuntos!G18/NºAsuntos!E18),NºAsuntos!G18/NºAsuntos!E18," - ")</f>
        <v>1.196078431372549</v>
      </c>
      <c r="C18" s="498">
        <f>IF(ISNUMBER(NºAsuntos!I18/NºAsuntos!G18),NºAsuntos!I18/NºAsuntos!G18," - ")</f>
        <v>0.54098360655737709</v>
      </c>
      <c r="D18" s="499">
        <f>IF(ISNUMBER('Resol  Asuntos'!D18/NºAsuntos!G18),'Resol  Asuntos'!D18/NºAsuntos!G18," - ")</f>
        <v>0.18032786885245902</v>
      </c>
      <c r="E18" s="500">
        <f>IF(ISNUMBER((NºAsuntos!C18+NºAsuntos!E18)/NºAsuntos!G18),(NºAsuntos!C18+NºAsuntos!E18)/NºAsuntos!G18," - ")</f>
        <v>1.540983606557377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0.79151943462897523</v>
      </c>
      <c r="C23" s="1156">
        <f>IF(ISNUMBER(NºAsuntos!I23/NºAsuntos!G23),NºAsuntos!I23/NºAsuntos!G23," - ")</f>
        <v>1.8258928571428572</v>
      </c>
      <c r="D23" s="1159">
        <f>IF(ISNUMBER('Resol  Asuntos'!D23/NºAsuntos!G23),'Resol  Asuntos'!D23/NºAsuntos!G23," - ")</f>
        <v>0.15401785714285715</v>
      </c>
      <c r="E23" s="1158">
        <f>IF(ISNUMBER((NºAsuntos!C23+NºAsuntos!E23)/NºAsuntos!G23),(NºAsuntos!C23+NºAsuntos!E23)/NºAsuntos!G23," - ")</f>
        <v>2.8258928571428572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0.74132730015082959</v>
      </c>
      <c r="C31" s="1099">
        <f>IF(ISNUMBER(NºAsuntos!I31/NºAsuntos!G31),NºAsuntos!I31/NºAsuntos!G31," - ")</f>
        <v>2.4720244150559512</v>
      </c>
      <c r="D31" s="1100">
        <f>IF(ISNUMBER('Resol  Asuntos'!D31/NºAsuntos!G31),'Resol  Asuntos'!D31/NºAsuntos!G31," - ")</f>
        <v>0.19125127161749747</v>
      </c>
      <c r="E31" s="1101">
        <f>IF(ISNUMBER((NºAsuntos!C31+NºAsuntos!E31)/NºAsuntos!G31),(NºAsuntos!C31+NºAsuntos!E31)/NºAsuntos!G31," - ")</f>
        <v>3.4720244150559512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mb3tUL5TzQ/VbCi2fvctyLV3uPdqNGrowEDt1I4MJxB2UozgBuKyiz33k5DIeHcWkZKBITNc+9KwnYYOgajw==" saltValue="Niq49586X0Bg4wBLj/66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BALAGUER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2</v>
      </c>
      <c r="Y10" s="374">
        <f t="shared" ref="Y10:Y13" si="0">SUM(W10:X10)</f>
        <v>8</v>
      </c>
      <c r="Z10" s="375" t="str">
        <f>IF(ISNUMBER(Datos!CC10),Datos!CC10," - ")</f>
        <v xml:space="preserve"> - </v>
      </c>
      <c r="AA10" s="372">
        <f>IF(ISNUMBER(Datos!L10),Datos!L10,"-")</f>
        <v>22</v>
      </c>
      <c r="AB10" s="374">
        <f>IF(ISNUMBER(Datos!R10),Datos!R10," - ")</f>
        <v>16</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11</v>
      </c>
      <c r="AN10" s="267">
        <f>IF(ISNUMBER('Resol  Asuntos'!D10/NºAsuntos!G10),'Resol  Asuntos'!D10/NºAsuntos!G10," - ")</f>
        <v>0.5</v>
      </c>
      <c r="AO10" s="268">
        <f>IF(ISNUMBER((NºAsuntos!C10+NºAsuntos!E10)/NºAsuntos!G10),(NºAsuntos!C10+NºAsuntos!E10)/NºAsuntos!G10," - ")</f>
        <v>4.666666666666667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500</v>
      </c>
      <c r="Y12" s="374">
        <f t="shared" si="0"/>
        <v>500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116</v>
      </c>
      <c r="AJ12" s="243" t="str">
        <f>IF(ISNUMBER(Datos!BW12),Datos!BW12," - ")</f>
        <v xml:space="preserve"> - </v>
      </c>
      <c r="AK12" s="242" t="str">
        <f>IF(ISNUMBER(Datos!BX12),Datos!BX12," - ")</f>
        <v xml:space="preserve"> - </v>
      </c>
      <c r="AL12" s="266">
        <f>IF(ISNUMBER(NºAsuntos!G12/NºAsuntos!E12),NºAsuntos!G12/NºAsuntos!E12," - ")</f>
        <v>0.70533333333333337</v>
      </c>
      <c r="AM12" s="284">
        <f>IF(ISNUMBER(((NºAsuntos!I12/NºAsuntos!G12)*11)/factor_trimestre),((NºAsuntos!I12/NºAsuntos!G12)*11)/factor_trimestre," - ")</f>
        <v>9.0170132325141772</v>
      </c>
      <c r="AN12" s="267">
        <f>IF(ISNUMBER('Resol  Asuntos'!D12/NºAsuntos!G12),'Resol  Asuntos'!D12/NºAsuntos!G12," - ")</f>
        <v>0.21928166351606806</v>
      </c>
      <c r="AO12" s="268">
        <f>IF(ISNUMBER((NºAsuntos!C12+NºAsuntos!E12)/NºAsuntos!G12),(NºAsuntos!C12+NºAsuntos!E12)/NºAsuntos!G12," - ")</f>
        <v>4.0056710775047257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18</v>
      </c>
      <c r="G14" s="1163">
        <f t="shared" si="5"/>
        <v>18</v>
      </c>
      <c r="H14" s="1162">
        <f t="shared" si="5"/>
        <v>0</v>
      </c>
      <c r="I14" s="1164">
        <f t="shared" si="5"/>
        <v>0</v>
      </c>
      <c r="J14" s="1164">
        <f t="shared" si="5"/>
        <v>0</v>
      </c>
      <c r="K14" s="1164">
        <f t="shared" si="5"/>
        <v>0</v>
      </c>
      <c r="L14" s="1164">
        <f t="shared" si="5"/>
        <v>206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502</v>
      </c>
      <c r="Y14" s="1165">
        <f t="shared" si="6"/>
        <v>508</v>
      </c>
      <c r="Z14" s="1165">
        <f t="shared" si="6"/>
        <v>0</v>
      </c>
      <c r="AA14" s="1165">
        <f t="shared" si="6"/>
        <v>22</v>
      </c>
      <c r="AB14" s="1165">
        <f t="shared" si="6"/>
        <v>3821</v>
      </c>
      <c r="AC14" s="1165">
        <f t="shared" si="6"/>
        <v>38</v>
      </c>
      <c r="AD14" s="1165">
        <f t="shared" si="6"/>
        <v>0</v>
      </c>
      <c r="AE14" s="1169">
        <f t="shared" si="6"/>
        <v>0</v>
      </c>
      <c r="AF14" s="1162">
        <f t="shared" si="6"/>
        <v>0</v>
      </c>
      <c r="AG14" s="1170">
        <f t="shared" si="6"/>
        <v>0</v>
      </c>
      <c r="AH14" s="1167">
        <f t="shared" si="6"/>
        <v>0</v>
      </c>
      <c r="AI14" s="1162">
        <f t="shared" si="6"/>
        <v>119</v>
      </c>
      <c r="AJ14" s="1164">
        <f t="shared" si="6"/>
        <v>0</v>
      </c>
      <c r="AK14" s="1167">
        <f>SUBTOTAL(9,AK9:AK13)</f>
        <v>0</v>
      </c>
      <c r="AL14" s="1171">
        <f>IF(ISNUMBER(NºAsuntos!G14/NºAsuntos!E14),NºAsuntos!G14/NºAsuntos!E14," - ")</f>
        <v>0.70394736842105265</v>
      </c>
      <c r="AM14" s="1171">
        <f>IF(ISNUMBER(((NºAsuntos!I14/NºAsuntos!G14)*11)/factor_trimestre),((NºAsuntos!I14/NºAsuntos!G14)*11)/factor_trimestre," - ")</f>
        <v>9.0392523364485999</v>
      </c>
      <c r="AN14" s="1172">
        <f>IF(ISNUMBER('Resol  Asuntos'!D14/NºAsuntos!G14),'Resol  Asuntos'!D14/NºAsuntos!G14," - ")</f>
        <v>0.22242990654205608</v>
      </c>
      <c r="AO14" s="1173">
        <f>IF(ISNUMBER((NºAsuntos!C14+NºAsuntos!E14)/NºAsuntos!G14),(NºAsuntos!C14+NºAsuntos!E14)/NºAsuntos!G14," - ")</f>
        <v>4.0130841121495324</v>
      </c>
      <c r="AP14" s="1174" t="str">
        <f t="shared" si="2"/>
        <v xml:space="preserve"> - </v>
      </c>
      <c r="AQ14" s="1174">
        <f>IF(ISNUMBER((H14-W14+K14)/(F14)),(H14-W14+K14)/(F14)," - ")</f>
        <v>-0.33333333333333331</v>
      </c>
      <c r="AR14" s="1175">
        <f>IF(ISNUMBER((Datos!P14-Datos!Q14)/(Datos!R14-Datos!P14+Datos!Q14)),(Datos!P14-Datos!Q14)/(Datos!R14-Datos!P14+Datos!Q14)," - ")</f>
        <v>-7.1897012387660914E-2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657</v>
      </c>
      <c r="G17" s="373">
        <f>IF(ISNUMBER(IF(D_I="SI",Datos!I17,Datos!I17+Datos!AC17)),IF(D_I="SI",Datos!I17,Datos!I17+Datos!AC17)," - ")</f>
        <v>657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387</v>
      </c>
      <c r="X17" s="240">
        <f>IF(ISNUMBER(Datos!Q17),Datos!Q17," - ")</f>
        <v>7</v>
      </c>
      <c r="Y17" s="374">
        <f t="shared" ref="Y17:Y22" si="9">SUM(W17:X17)</f>
        <v>394</v>
      </c>
      <c r="Z17" s="375" t="str">
        <f>IF(ISNUMBER(Datos!CC17),Datos!CC17," - ")</f>
        <v xml:space="preserve"> - </v>
      </c>
      <c r="AA17" s="372">
        <f>IF(ISNUMBER(IF(D_I="SI",Datos!L17,Datos!L17+Datos!AF17)),IF(D_I="SI",Datos!L17,Datos!L17+Datos!AF17)," - ")</f>
        <v>785</v>
      </c>
      <c r="AB17" s="374">
        <f>IF(ISNUMBER(Datos!R17),Datos!R17," - ")</f>
        <v>116</v>
      </c>
      <c r="AC17" s="374">
        <f t="shared" si="8"/>
        <v>901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v>
      </c>
      <c r="AJ17" s="245" t="str">
        <f>IF(ISNUMBER(Datos!BW17),Datos!BW17," - ")</f>
        <v xml:space="preserve"> - </v>
      </c>
      <c r="AK17" s="246" t="str">
        <f>IF(ISNUMBER(Datos!BX17),Datos!BX17," - ")</f>
        <v xml:space="preserve"> - </v>
      </c>
      <c r="AL17" s="266">
        <f>IF(ISNUMBER(NºAsuntos!G17/NºAsuntos!E17),NºAsuntos!G17/NºAsuntos!E17," - ")</f>
        <v>0.75145631067961161</v>
      </c>
      <c r="AM17" s="284">
        <f>IF(ISNUMBER(((NºAsuntos!I17/NºAsuntos!G17)*11)/factor_trimestre),((NºAsuntos!I17/NºAsuntos!G17)*11)/factor_trimestre," - ")</f>
        <v>6.0852713178294584</v>
      </c>
      <c r="AN17" s="267">
        <f>IF(ISNUMBER('Resol  Asuntos'!D17/NºAsuntos!G17),'Resol  Asuntos'!D17/NºAsuntos!G17," - ")</f>
        <v>0.14987080103359174</v>
      </c>
      <c r="AO17" s="268">
        <f>IF(ISNUMBER((NºAsuntos!C17+NºAsuntos!E17)/NºAsuntos!G17),(NºAsuntos!C17+NºAsuntos!E17)/NºAsuntos!G17," - ")</f>
        <v>3.0284237726098193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61</v>
      </c>
      <c r="X18" s="240">
        <f>IF(ISNUMBER(Datos!Q18),Datos!Q18," - ")</f>
        <v>2</v>
      </c>
      <c r="Y18" s="374">
        <f t="shared" si="9"/>
        <v>63</v>
      </c>
      <c r="Z18" s="375" t="str">
        <f>IF(ISNUMBER(Datos!CC18),Datos!CC18," - ")</f>
        <v xml:space="preserve"> - </v>
      </c>
      <c r="AA18" s="372">
        <f>IF(ISNUMBER(Datos!L18),Datos!L18,"-")</f>
        <v>33</v>
      </c>
      <c r="AB18" s="374">
        <f>IF(ISNUMBER(Datos!R18),Datos!R18," - ")</f>
        <v>13</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1.196078431372549</v>
      </c>
      <c r="AM18" s="284">
        <f>IF(ISNUMBER(((NºAsuntos!I18/NºAsuntos!G18)*11)/factor_trimestre),((NºAsuntos!I18/NºAsuntos!G18)*11)/factor_trimestre," - ")</f>
        <v>1.6229508196721314</v>
      </c>
      <c r="AN18" s="267">
        <f>IF(ISNUMBER('Resol  Asuntos'!D18/NºAsuntos!G18),'Resol  Asuntos'!D18/NºAsuntos!G18," - ")</f>
        <v>0.18032786885245902</v>
      </c>
      <c r="AO18" s="268">
        <f>IF(ISNUMBER((NºAsuntos!C18+NºAsuntos!E18)/NºAsuntos!G18),(NºAsuntos!C18+NºAsuntos!E18)/NºAsuntos!G18," - ")</f>
        <v>1.540983606557377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657</v>
      </c>
      <c r="G23" s="1163">
        <f>SUBTOTAL(9,G16:G22)</f>
        <v>700</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448</v>
      </c>
      <c r="X23" s="1164">
        <f t="shared" si="14"/>
        <v>9</v>
      </c>
      <c r="Y23" s="1165">
        <f t="shared" si="14"/>
        <v>457</v>
      </c>
      <c r="Z23" s="1165">
        <f t="shared" si="14"/>
        <v>0</v>
      </c>
      <c r="AA23" s="1165">
        <f t="shared" si="14"/>
        <v>818</v>
      </c>
      <c r="AB23" s="1165">
        <f t="shared" si="14"/>
        <v>129</v>
      </c>
      <c r="AC23" s="1165">
        <f t="shared" si="14"/>
        <v>947</v>
      </c>
      <c r="AD23" s="1165">
        <f t="shared" si="14"/>
        <v>0</v>
      </c>
      <c r="AE23" s="1169">
        <f t="shared" si="14"/>
        <v>0</v>
      </c>
      <c r="AF23" s="1162">
        <f t="shared" si="14"/>
        <v>0</v>
      </c>
      <c r="AG23" s="1170">
        <f t="shared" si="14"/>
        <v>0</v>
      </c>
      <c r="AH23" s="1167">
        <f t="shared" si="14"/>
        <v>0</v>
      </c>
      <c r="AI23" s="1162">
        <f t="shared" si="14"/>
        <v>69</v>
      </c>
      <c r="AJ23" s="1164">
        <f t="shared" si="14"/>
        <v>0</v>
      </c>
      <c r="AK23" s="1167">
        <f t="shared" si="14"/>
        <v>0</v>
      </c>
      <c r="AL23" s="1171">
        <f>IF(ISNUMBER(NºAsuntos!G23/NºAsuntos!E23),NºAsuntos!G23/NºAsuntos!E23," - ")</f>
        <v>0.79151943462897523</v>
      </c>
      <c r="AM23" s="1171">
        <f>IF(ISNUMBER(((NºAsuntos!I23/NºAsuntos!G23)*11)/factor_trimestre),((NºAsuntos!I23/NºAsuntos!G23)*11)/factor_trimestre," - ")</f>
        <v>5.4776785714285721</v>
      </c>
      <c r="AN23" s="1172">
        <f>IF(ISNUMBER('Resol  Asuntos'!D23/NºAsuntos!G23),'Resol  Asuntos'!D23/NºAsuntos!G23," - ")</f>
        <v>0.15401785714285715</v>
      </c>
      <c r="AO23" s="1173">
        <f>IF(ISNUMBER((NºAsuntos!C23+NºAsuntos!E23)/NºAsuntos!G23),(NºAsuntos!C23+NºAsuntos!E23)/NºAsuntos!G23," - ")</f>
        <v>2.8258928571428572</v>
      </c>
      <c r="AP23" s="1174" t="str">
        <f t="shared" si="2"/>
        <v xml:space="preserve"> - </v>
      </c>
      <c r="AQ23" s="1174">
        <f>IF(ISNUMBER((H23-W23+K23)/(F23)),(H23-W23+K23)/(F23)," - ")</f>
        <v>-0.68188736681887363</v>
      </c>
      <c r="AR23" s="1175">
        <f>IF(ISNUMBER((Datos!P23-Datos!Q23)/(Datos!R23-Datos!P23+Datos!Q23)),(Datos!P23-Datos!Q23)/(Datos!R23-Datos!P23+Datos!Q23)," - ")</f>
        <v>-1.5267175572519083E-2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675</v>
      </c>
      <c r="G31" s="1118">
        <f t="shared" si="20"/>
        <v>718</v>
      </c>
      <c r="H31" s="1117">
        <f t="shared" si="20"/>
        <v>0</v>
      </c>
      <c r="I31" s="1119">
        <f t="shared" si="20"/>
        <v>0</v>
      </c>
      <c r="J31" s="1119">
        <f t="shared" si="20"/>
        <v>0</v>
      </c>
      <c r="K31" s="1180">
        <f t="shared" si="20"/>
        <v>0</v>
      </c>
      <c r="L31" s="1119">
        <f t="shared" si="20"/>
        <v>213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454</v>
      </c>
      <c r="X31" s="1118">
        <f t="shared" si="21"/>
        <v>511</v>
      </c>
      <c r="Y31" s="1125">
        <f t="shared" si="21"/>
        <v>965</v>
      </c>
      <c r="Z31" s="1125">
        <f t="shared" si="21"/>
        <v>0</v>
      </c>
      <c r="AA31" s="1125">
        <f t="shared" si="21"/>
        <v>840</v>
      </c>
      <c r="AB31" s="1125">
        <f t="shared" si="21"/>
        <v>3950</v>
      </c>
      <c r="AC31" s="1125">
        <f t="shared" si="21"/>
        <v>985</v>
      </c>
      <c r="AD31" s="1125">
        <f t="shared" si="21"/>
        <v>0</v>
      </c>
      <c r="AE31" s="1127">
        <f t="shared" si="21"/>
        <v>0</v>
      </c>
      <c r="AF31" s="1128">
        <f t="shared" si="21"/>
        <v>0</v>
      </c>
      <c r="AG31" s="1129">
        <f t="shared" si="21"/>
        <v>0</v>
      </c>
      <c r="AH31" s="1127">
        <f t="shared" si="21"/>
        <v>0</v>
      </c>
      <c r="AI31" s="1117">
        <f t="shared" si="21"/>
        <v>188</v>
      </c>
      <c r="AJ31" s="1117">
        <f t="shared" si="21"/>
        <v>0</v>
      </c>
      <c r="AK31" s="1127">
        <f t="shared" si="21"/>
        <v>0</v>
      </c>
      <c r="AL31" s="1183">
        <f>IF(ISNUMBER(NºAsuntos!G31/NºAsuntos!E31),NºAsuntos!G31/NºAsuntos!E31," - ")</f>
        <v>0.74132730015082959</v>
      </c>
      <c r="AM31" s="1184">
        <f>IF(ISNUMBER(((NºAsuntos!I31/NºAsuntos!G31)*11)/factor_trimestre),((NºAsuntos!I31/NºAsuntos!G31)*11)/factor_trimestre," - ")</f>
        <v>7.4160732451678539</v>
      </c>
      <c r="AN31" s="1184">
        <f>IF(ISNUMBER('Resol  Asuntos'!D31/NºAsuntos!G31),'Resol  Asuntos'!D31/NºAsuntos!G31," - ")</f>
        <v>0.19125127161749747</v>
      </c>
      <c r="AO31" s="1185">
        <f>IF(ISNUMBER((NºAsuntos!C31+NºAsuntos!E31)/NºAsuntos!G31),(NºAsuntos!C31+NºAsuntos!E31)/NºAsuntos!G31," - ")</f>
        <v>3.4720244150559512</v>
      </c>
      <c r="AP31" s="1186" t="str">
        <f t="shared" si="2"/>
        <v xml:space="preserve"> - </v>
      </c>
      <c r="AQ31" s="1187">
        <f>IF(OR(ISNUMBER(FIND("01",Criterios!A8,1)),ISNUMBER(FIND("02",Criterios!A8,1)),ISNUMBER(FIND("03",Criterios!A8,1)),ISNUMBER(FIND("04",Criterios!A8,1))),(I31-W31+K31)/(F31-K31),(H31-W31+K31)/(F31-K31))</f>
        <v>-0.67259259259259263</v>
      </c>
      <c r="AR31" s="1188">
        <f>IF(ISNUMBER((Datos!P31-Datos!Q31)/(Datos!R31-Datos!P31+Datos!Q31)),(Datos!P31-Datos!Q31)/(Datos!R31-Datos!P31+Datos!Q31)," - ")</f>
        <v>-7.0150659133709978E-2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334.72257169184155</v>
      </c>
      <c r="G33" s="277">
        <f>IF(ISNUMBER(STDEV(G8:G30)),STDEV(G8:G30),"-")</f>
        <v>323.92407987645737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198.53019441696546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50.990195135927848</v>
      </c>
      <c r="AJ33" s="276">
        <f t="shared" si="25"/>
        <v>0</v>
      </c>
      <c r="AK33" s="278">
        <f t="shared" si="25"/>
        <v>0</v>
      </c>
      <c r="AL33" s="273">
        <f t="shared" si="25"/>
        <v>0.20835044447933931</v>
      </c>
      <c r="AM33" s="274">
        <f t="shared" si="25"/>
        <v>3.3551145246929517</v>
      </c>
      <c r="AN33" s="274">
        <f t="shared" si="25"/>
        <v>0.13219827472992135</v>
      </c>
      <c r="AO33" s="275">
        <f t="shared" si="25"/>
        <v>1.1183715082309855</v>
      </c>
      <c r="AP33" s="317" t="str">
        <f t="shared" si="25"/>
        <v>-</v>
      </c>
      <c r="AQ33" s="318">
        <f t="shared" si="25"/>
        <v>0.24646492068754847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oua3oE34CWUG+GlEKYvZKjsvfqD2YVFPxvczPm+Mg2N3s7JQTvf3zfle3AquT/4odnNSJXgeF6lJ1fKA8msA==" saltValue="LG8ZD8zzGS5DiVDE+dO8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BALAGUER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v>
      </c>
      <c r="F10" s="393">
        <f>IF(ISNUMBER((Datos!K10-Datos!U10)/Datos!U10),(Datos!K10-Datos!U10)/Datos!U10," - ")</f>
        <v>0</v>
      </c>
      <c r="G10" s="394">
        <f>IF(ISNUMBER((Datos!L10-Datos!V10)/Datos!V10),(Datos!L10-Datos!V10)/Datos!V10," - ")</f>
        <v>0.15789473684210525</v>
      </c>
      <c r="H10" s="244">
        <f>IF(ISNUMBER((Datos!M10-Datos!W10)/Datos!W10),(Datos!M10-Datos!W10)/Datos!W10," - ")</f>
        <v>0.5</v>
      </c>
      <c r="I10" s="395">
        <f>IF(ISNUMBER((Tasas!C10-Datos!BE10)/Datos!BE10),(Tasas!C10-Datos!BE10)/Datos!BE10," - ")</f>
        <v>0.15789473684210528</v>
      </c>
      <c r="J10" s="394">
        <f>IF(ISNUMBER((Tasas!D10-Datos!BF10)/Datos!BF10),(Tasas!D10-Datos!BF10)/Datos!BF10," - ")</f>
        <v>0.50000000000000011</v>
      </c>
      <c r="K10" s="396">
        <f>IF(ISNUMBER((Tasas!E10-Datos!BG10)/Datos!BG10),(Tasas!E10-Datos!BG10)/Datos!BG10," - ")</f>
        <v>0.12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-1.6949152542372881E-2</v>
      </c>
      <c r="I12" s="395">
        <f>IF(ISNUMBER((Tasas!C12-Datos!BE12)/Datos!BE12),(Tasas!C12-Datos!BE12)/Datos!BE12," - ")</f>
        <v>7.1141308590104257E-2</v>
      </c>
      <c r="J12" s="394">
        <f>IF(ISNUMBER((Tasas!D12-Datos!BF12)/Datos!BF12),(Tasas!D12-Datos!BF12)/Datos!BF12," - ")</f>
        <v>-0.42347801049086736</v>
      </c>
      <c r="K12" s="396">
        <f>IF(ISNUMBER((Tasas!E12-Datos!BG12)/Datos!BG12),(Tasas!E12-Datos!BG12)/Datos!BG12," - ")</f>
        <v>6.0874861754086837E-2</v>
      </c>
      <c r="M12" t="e">
        <f>IF(Monitorios="SI",Datos!CE12,0)</f>
        <v>#REF!</v>
      </c>
      <c r="N12" t="e">
        <f>IF(Monitorios="SI",Datos!CF12,0)</f>
        <v>#REF!</v>
      </c>
      <c r="O12" t="e">
        <f>IF(Monitorios="SI",Datos!CG12,0)</f>
        <v>#REF!</v>
      </c>
      <c r="P12" t="e">
        <f>IF(Monitorios="SI",Datos!CH12,0)</f>
        <v>#REF!</v>
      </c>
      <c r="Q12">
        <f>IF(J_V="SI",0,Datos!AG12)</f>
        <v>49</v>
      </c>
      <c r="R12">
        <f>IF(J_V="SI",0,Datos!AH12)</f>
        <v>21</v>
      </c>
      <c r="S12">
        <f>IF(J_V="SI",0,Datos!AI12)</f>
        <v>25</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-8.3333333333333332E-3</v>
      </c>
      <c r="I14" s="402">
        <f>IF(ISNUMBER((Tasas!C14-Datos!BE14)/Datos!BE14),(Tasas!C14-Datos!BE14)/Datos!BE14," - ")</f>
        <v>7.1732477666603484E-2</v>
      </c>
      <c r="J14" s="400">
        <f>IF(ISNUMBER((Tasas!D14-Datos!BF14)/Datos!BF14),(Tasas!D14-Datos!BF14)/Datos!BF14," - ")</f>
        <v>-0.41412253374870195</v>
      </c>
      <c r="K14" s="403">
        <f>IF(ISNUMBER((Tasas!E14-Datos!BG14)/Datos!BG14),(Tasas!E14-Datos!BG14)/Datos!BG14," - ")</f>
        <v>6.1202688448990482E-2</v>
      </c>
      <c r="M14" t="e">
        <f>IF(Monitorios="SI",Datos!CE14,0)</f>
        <v>#REF!</v>
      </c>
      <c r="N14" t="e">
        <f>IF(Monitorios="SI",Datos!CF14,0)</f>
        <v>#REF!</v>
      </c>
      <c r="O14" t="e">
        <f>IF(Monitorios="SI",Datos!CG14,0)</f>
        <v>#REF!</v>
      </c>
      <c r="P14" t="e">
        <f>IF(Monitorios="SI",Datos!CH14,0)</f>
        <v>#REF!</v>
      </c>
      <c r="Q14">
        <f>IF(J_V="SI",0,Datos!AG14)</f>
        <v>49</v>
      </c>
      <c r="R14">
        <f>IF(J_V="SI",0,Datos!AH14)</f>
        <v>21</v>
      </c>
      <c r="S14">
        <f>IF(J_V="SI",0,Datos!AI14)</f>
        <v>25</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0.24667931688804554</v>
      </c>
      <c r="E17" s="393">
        <f>IF(ISNUMBER(
   IF(D_I="SI",(Datos!J17-Datos!T17)/Datos!T17,(Datos!J17+Datos!AD17-(Datos!T17+Datos!AL17))/(Datos!T17+Datos!AL17))
     ),IF(D_I="SI",(Datos!J17-Datos!T17)/Datos!T17,(Datos!J17+Datos!AD17-(Datos!T17+Datos!AL17))/(Datos!T17+Datos!AL17))," - ")</f>
        <v>0.14190687361419069</v>
      </c>
      <c r="F17" s="393">
        <f>IF(ISNUMBER(
   IF(D_I="SI",(Datos!K17-Datos!U17)/Datos!U17,(Datos!K17+Datos!AE17-(Datos!U17+Datos!AM17))/(Datos!U17+Datos!AM17))
     ),IF(D_I="SI",(Datos!K17-Datos!U17)/Datos!U17,(Datos!K17+Datos!AE17-(Datos!U17+Datos!AM17))/(Datos!U17+Datos!AM17))," - ")</f>
        <v>-0.2165991902834008</v>
      </c>
      <c r="G17" s="394">
        <f>IF(ISNUMBER(
   IF(D_I="SI",(Datos!L17-Datos!V17)/Datos!V17,(Datos!L17+Datos!AF17-(Datos!V17+Datos!AN17))/(Datos!V17+Datos!AN17))
     ),IF(D_I="SI",(Datos!L17-Datos!V17)/Datos!V17,(Datos!L17+Datos!AF17-(Datos!V17+Datos!AN17))/(Datos!V17+Datos!AN17))," - ")</f>
        <v>0.60531697341513291</v>
      </c>
      <c r="H17" s="244">
        <f>IF(ISNUMBER((Datos!M17-Datos!W17)/Datos!W17),(Datos!M17-Datos!W17)/Datos!W17," - ")</f>
        <v>-0.43689320388349512</v>
      </c>
      <c r="I17" s="395">
        <f>IF(ISNUMBER((Tasas!C17-Datos!BE17)/Datos!BE17),(Tasas!C17-Datos!BE17)/Datos!BE17," - ")</f>
        <v>1.049164301982108</v>
      </c>
      <c r="J17" s="394">
        <f>IF(ISNUMBER((Tasas!D17-Datos!BF17)/Datos!BF17),(Tasas!D17-Datos!BF17)/Datos!BF17," - ")</f>
        <v>-0.28120217756704546</v>
      </c>
      <c r="K17" s="396">
        <f>IF(ISNUMBER((Tasas!E17-Datos!BG17)/Datos!BG17),(Tasas!E17-Datos!BG17)/Datos!BG17," - ")</f>
        <v>0.52969462542868184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-0.15686274509803921</v>
      </c>
      <c r="E18" s="393">
        <f>IF(ISNUMBER(
   IF(D_I="SI",(Datos!J18-Datos!T18)/Datos!T18,(Datos!J18+Datos!AD18-(Datos!T18+Datos!AL18))/(Datos!T18+Datos!AL18))
     ),IF(D_I="SI",(Datos!J18-Datos!T18)/Datos!T18,(Datos!J18+Datos!AD18-(Datos!T18+Datos!AL18))/(Datos!T18+Datos!AL18))," - ")</f>
        <v>0.13333333333333333</v>
      </c>
      <c r="F18" s="393">
        <f>IF(ISNUMBER(
   IF(D_I="SI",(Datos!K18-Datos!U18)/Datos!U18,(Datos!K18+Datos!AE18-(Datos!U18+Datos!AM18))/(Datos!U18+Datos!AM18))
     ),IF(D_I="SI",(Datos!K18-Datos!U18)/Datos!U18,(Datos!K18+Datos!AE18-(Datos!U18+Datos!AM18))/(Datos!U18+Datos!AM18))," - ")</f>
        <v>0.38636363636363635</v>
      </c>
      <c r="G18" s="394">
        <f>IF(ISNUMBER(
   IF(D_I="SI",(Datos!L18-Datos!V18)/Datos!V18,(Datos!L18+Datos!AF18-(Datos!V18+Datos!AN18))/(Datos!V18+Datos!AN18))
     ),IF(D_I="SI",(Datos!L18-Datos!V18)/Datos!V18,(Datos!L18+Datos!AF18-(Datos!V18+Datos!AN18))/(Datos!V18+Datos!AN18))," - ")</f>
        <v>-0.3888888888888889</v>
      </c>
      <c r="H18" s="244">
        <f>IF(ISNUMBER((Datos!M18-Datos!W18)/Datos!W18),(Datos!M18-Datos!W18)/Datos!W18," - ")</f>
        <v>-0.15384615384615385</v>
      </c>
      <c r="I18" s="395">
        <f>IF(ISNUMBER((Tasas!C18-Datos!BE18)/Datos!BE18),(Tasas!C18-Datos!BE18)/Datos!BE18," - ")</f>
        <v>-0.55919854280510017</v>
      </c>
      <c r="J18" s="394">
        <f>IF(ISNUMBER((Tasas!D18-Datos!BF18)/Datos!BF18),(Tasas!D18-Datos!BF18)/Datos!BF18," - ")</f>
        <v>-0.38965952080706179</v>
      </c>
      <c r="K18" s="396">
        <f>IF(ISNUMBER((Tasas!E18-Datos!BG18)/Datos!BG18),(Tasas!E18-Datos!BG18)/Datos!BG18," - ")</f>
        <v>-0.29371584699453551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0.21107266435986158</v>
      </c>
      <c r="E23" s="399">
        <f>IF(ISNUMBER(
   IF(D_I="SI",(Datos!J23-Datos!T23)/Datos!T23,(Datos!J23+Datos!AD23-(Datos!T23+Datos!AL23))/(Datos!T23+Datos!AL23))
     ),IF(D_I="SI",(Datos!J23-Datos!T23)/Datos!T23,(Datos!J23+Datos!AD23-(Datos!T23+Datos!AL23))/(Datos!T23+Datos!AL23))," - ")</f>
        <v>0.14112903225806453</v>
      </c>
      <c r="F23" s="399">
        <f>IF(ISNUMBER(
   IF(D_I="SI",(Datos!K23-Datos!U23)/Datos!U23,(Datos!K23+Datos!AE23-(Datos!U23+Datos!AM23))/(Datos!U23+Datos!AM23))
     ),IF(D_I="SI",(Datos!K23-Datos!U23)/Datos!U23,(Datos!K23+Datos!AE23-(Datos!U23+Datos!AM23))/(Datos!U23+Datos!AM23))," - ")</f>
        <v>-0.16728624535315986</v>
      </c>
      <c r="G23" s="400">
        <f>IF(ISNUMBER(
   IF(D_I="SI",(Datos!L23-Datos!V23)/Datos!V23,(Datos!L23+Datos!AF23-(Datos!V23+Datos!AN23))/(Datos!V23+Datos!AN23))
     ),IF(D_I="SI",(Datos!L23-Datos!V23)/Datos!V23,(Datos!L23+Datos!AF23-(Datos!V23+Datos!AN23))/(Datos!V23+Datos!AN23))," - ")</f>
        <v>0.50644567219152858</v>
      </c>
      <c r="H23" s="401">
        <f>IF(ISNUMBER((Datos!M23-Datos!W23)/Datos!W23),(Datos!M23-Datos!W23)/Datos!W23," - ")</f>
        <v>-0.40517241379310343</v>
      </c>
      <c r="I23" s="402">
        <f>IF(ISNUMBER((Tasas!C23-Datos!BE23)/Datos!BE23),(Tasas!C23-Datos!BE23)/Datos!BE23," - ")</f>
        <v>0.80907984740857675</v>
      </c>
      <c r="J23" s="400">
        <f>IF(ISNUMBER((Tasas!D23-Datos!BF23)/Datos!BF23),(Tasas!D23-Datos!BF23)/Datos!BF23," - ")</f>
        <v>-0.28567580049261082</v>
      </c>
      <c r="K23" s="403">
        <f>IF(ISNUMBER((Tasas!E23-Datos!BG23)/Datos!BG23),(Tasas!E23-Datos!BG23)/Datos!BG23," - ")</f>
        <v>0.41557761372705504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0.35519480519480517</v>
      </c>
      <c r="E31" s="409">
        <f>IF(ISNUMBER(
   IF(J_V="SI",(Datos!J31-Datos!T31)/Datos!T31,(Datos!J31+Datos!Z31-(Datos!T31+Datos!AH31))/(Datos!T31+Datos!AH31))
     ),IF(J_V="SI",(Datos!J31-Datos!T31)/Datos!T31,(Datos!J31+Datos!Z31-(Datos!T31+Datos!AH31))/(Datos!T31+Datos!AH31))," - ")</f>
        <v>0.25330812854442342</v>
      </c>
      <c r="F31" s="409">
        <f>IF(ISNUMBER(
   IF(J_V="SI",(Datos!K31-Datos!U31)/Datos!U31,(Datos!K31+Datos!AA31-(Datos!U31+Datos!AI31))/(Datos!U31+Datos!AI31))
     ),IF(J_V="SI",(Datos!K31-Datos!U31)/Datos!U31,(Datos!K31+Datos!AA31-(Datos!U31+Datos!AI31))/(Datos!U31+Datos!AI31))," - ")</f>
        <v>4.4633368756641874E-2</v>
      </c>
      <c r="G31" s="410">
        <f>IF(ISNUMBER(
   IF(J_V="SI",(Datos!L31-Datos!V31)/Datos!V31,(Datos!L31+Datos!AB31-(Datos!V31+Datos!AJ31))/(Datos!V31+Datos!AJ31))
     ),IF(J_V="SI",(Datos!L31-Datos!V31)/Datos!V31,(Datos!L31+Datos!AB31-(Datos!V31+Datos!AJ31))/(Datos!V31+Datos!AJ31))," - ")</f>
        <v>0.44988066825775658</v>
      </c>
      <c r="H31" s="411">
        <f>IF(ISNUMBER((Datos!M31-Datos!W31)/Datos!W31),(Datos!M31-Datos!W31)/Datos!W31," - ")</f>
        <v>-0.20338983050847459</v>
      </c>
      <c r="I31" s="408">
        <f>IF(ISNUMBER((Tasas!C31-Datos!BE31)/Datos!BE31),(Tasas!C31-Datos!BE31)/Datos!BE31," - ")</f>
        <v>0.38793256239119928</v>
      </c>
      <c r="J31" s="409">
        <f>IF(ISNUMBER((Tasas!D31-Datos!BF31)/Datos!BF31),(Tasas!D31-Datos!BF31)/Datos!BF31," - ")</f>
        <v>-0.33097603497373562</v>
      </c>
      <c r="K31" s="410">
        <f>IF(ISNUMBER((Tasas!E31-Datos!BG31)/Datos!BG31),(Tasas!E31-Datos!BG31)/Datos!BG31," - ")</f>
        <v>0.25757312339016541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0.18910823100129415</v>
      </c>
      <c r="E33" s="303">
        <f t="shared" si="1"/>
        <v>6.9502773238841187E-2</v>
      </c>
      <c r="F33" s="303">
        <f t="shared" si="1"/>
        <v>0.27335887355282235</v>
      </c>
      <c r="G33" s="304">
        <f t="shared" si="1"/>
        <v>0.4491187252823482</v>
      </c>
      <c r="H33" s="310">
        <f t="shared" si="1"/>
        <v>0.34169922586311591</v>
      </c>
      <c r="I33" s="302">
        <f t="shared" si="1"/>
        <v>0.57907318756518777</v>
      </c>
      <c r="J33" s="303">
        <f t="shared" si="1"/>
        <v>0.35615130371881293</v>
      </c>
      <c r="K33" s="304">
        <f t="shared" si="1"/>
        <v>0.29267891236787064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512ngGNsr/0qDlW/OGHxoDCU/HxyhypCdC8N6AhDVqf3cxe1bFOc3bzhkvvkyQ77X4dYcTVbxd83pYVCoEwmA==" saltValue="0EqEALCYqTisjGNCT3g/8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